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3.xml" ContentType="application/vnd.openxmlformats-officedocument.spreadsheetml.pivotTab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1.xml" ContentType="application/vnd.openxmlformats-officedocument.drawing+xml"/>
  <Override PartName="/xl/charts/chart2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3.xml" ContentType="application/vnd.openxmlformats-officedocument.drawing+xml"/>
  <Override PartName="/xl/charts/chart3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4.xml" ContentType="application/vnd.openxmlformats-officedocument.drawing+xml"/>
  <Override PartName="/xl/charts/chart3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#\portpolio projects\Excel\Financial Transactions and Risk Analysis\"/>
    </mc:Choice>
  </mc:AlternateContent>
  <xr:revisionPtr revIDLastSave="0" documentId="13_ncr:1_{C1C807FE-15CF-45C7-BADF-4E9CBDFBED73}" xr6:coauthVersionLast="47" xr6:coauthVersionMax="47" xr10:uidLastSave="{00000000-0000-0000-0000-000000000000}"/>
  <bookViews>
    <workbookView xWindow="-110" yWindow="-110" windowWidth="19420" windowHeight="11020" firstSheet="6" activeTab="8" xr2:uid="{41A17376-BB32-422C-B4DC-988B3D67F20C}"/>
  </bookViews>
  <sheets>
    <sheet name="Uncleaned_data" sheetId="1" r:id="rId1"/>
    <sheet name="Cleaned_data" sheetId="3" r:id="rId2"/>
    <sheet name="1. Customer Segmentation" sheetId="4" r:id="rId3"/>
    <sheet name="2. Customer Activity" sheetId="6" r:id="rId4"/>
    <sheet name="3. Retention and Loyalty" sheetId="7" r:id="rId5"/>
    <sheet name="4. Revenue and Profitability " sheetId="8" r:id="rId6"/>
    <sheet name="5. Transaction Analysis" sheetId="9" r:id="rId7"/>
    <sheet name="6. Loan Analysis" sheetId="10" r:id="rId8"/>
    <sheet name="7. Credit Risk" sheetId="11" r:id="rId9"/>
    <sheet name="8. Branch-Level Risk" sheetId="12" r:id="rId10"/>
    <sheet name="9. Branch Performance" sheetId="13" r:id="rId11"/>
    <sheet name="10. Transaction Status" sheetId="14" r:id="rId12"/>
    <sheet name="11. Customer Engagement" sheetId="15" r:id="rId13"/>
    <sheet name="12. Loan Repayment" sheetId="16" r:id="rId14"/>
    <sheet name="13. Product Development" sheetId="17" r:id="rId15"/>
    <sheet name="14. Growth Opportunities" sheetId="18" r:id="rId16"/>
    <sheet name="15. KPIs" sheetId="19" r:id="rId17"/>
  </sheets>
  <definedNames>
    <definedName name="_xlnm._FilterDatabase" localSheetId="2" hidden="1">'1. Customer Segmentation'!$B$46:$C$49</definedName>
    <definedName name="_xlnm._FilterDatabase" localSheetId="15" hidden="1">'14. Growth Opportunities'!$B$14:$C$614</definedName>
    <definedName name="_xlnm._FilterDatabase" localSheetId="3" hidden="1">'2. Customer Activity'!$B$48:$C$648</definedName>
    <definedName name="_xlnm._FilterDatabase" localSheetId="5" hidden="1">'4. Revenue and Profitability '!$B$9:$I$43</definedName>
    <definedName name="_xlnm._FilterDatabase" localSheetId="6" hidden="1">'5. Transaction Analysis'!$B$71:$C$83</definedName>
    <definedName name="_xlnm._FilterDatabase" localSheetId="9" hidden="1">'8. Branch-Level Risk'!$K$10:$P$612</definedName>
    <definedName name="_xlchart.v1.3" hidden="1">'7. Credit Risk'!$B$14:$B$18</definedName>
    <definedName name="_xlchart.v1.4" hidden="1">'7. Credit Risk'!$C$14:$C$18</definedName>
    <definedName name="_xlchart.v2.0" hidden="1">'1. Customer Segmentation'!$B$47:$B$49</definedName>
    <definedName name="_xlchart.v2.1" hidden="1">'1. Customer Segmentation'!$C$46</definedName>
    <definedName name="_xlchart.v2.2" hidden="1">'1. Customer Segmentation'!$C$47:$C$49</definedName>
  </definedNames>
  <calcPr calcId="191029"/>
  <pivotCaches>
    <pivotCache cacheId="0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1" i="18" l="1"/>
  <c r="C42" i="18"/>
  <c r="C43" i="18"/>
  <c r="C40" i="18"/>
  <c r="B40" i="18" a="1"/>
  <c r="B40" i="18" s="1"/>
  <c r="F32" i="18"/>
  <c r="G32" i="18"/>
  <c r="G33" i="18"/>
  <c r="G34" i="18"/>
  <c r="F33" i="18"/>
  <c r="F34" i="18"/>
  <c r="D33" i="18"/>
  <c r="D34" i="18"/>
  <c r="D32" i="18"/>
  <c r="E34" i="18"/>
  <c r="E33" i="18"/>
  <c r="E32" i="18"/>
  <c r="C34" i="18"/>
  <c r="C33" i="18"/>
  <c r="C32" i="18"/>
  <c r="B32" i="18" a="1"/>
  <c r="B32" i="18" s="1"/>
  <c r="AI24" i="18" a="1"/>
  <c r="AI24" i="18" s="1"/>
  <c r="X1002" i="3"/>
  <c r="B65" i="17" a="1"/>
  <c r="B65" i="17" s="1"/>
  <c r="C67" i="17"/>
  <c r="C58" i="17"/>
  <c r="C59" i="17"/>
  <c r="C57" i="17"/>
  <c r="B57" i="17" a="1"/>
  <c r="B57" i="17" s="1"/>
  <c r="B35" i="17" a="1"/>
  <c r="C37" i="17" s="1"/>
  <c r="B18" i="17" a="1"/>
  <c r="B18" i="17" s="1"/>
  <c r="C18" i="17" s="1"/>
  <c r="D51" i="16"/>
  <c r="D52" i="16"/>
  <c r="D50" i="16"/>
  <c r="C51" i="16"/>
  <c r="C52" i="16"/>
  <c r="C50" i="16"/>
  <c r="B27" i="16" a="1"/>
  <c r="D29" i="16" s="1"/>
  <c r="B50" i="16" a="1"/>
  <c r="B50" i="16" s="1"/>
  <c r="B13" i="16" a="1"/>
  <c r="B13" i="16" s="1"/>
  <c r="D13" i="16" s="1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2" i="3"/>
  <c r="O12" i="15" a="1"/>
  <c r="O12" i="15" s="1"/>
  <c r="B32" i="14" a="1"/>
  <c r="B32" i="14" s="1"/>
  <c r="C32" i="14" s="1"/>
  <c r="B13" i="14" a="1"/>
  <c r="B13" i="14" s="1"/>
  <c r="B13" i="13" a="1"/>
  <c r="D14" i="13" s="1"/>
  <c r="K12" i="12" a="1"/>
  <c r="K12" i="12" s="1"/>
  <c r="L341" i="12"/>
  <c r="L342" i="12"/>
  <c r="L351" i="12"/>
  <c r="L352" i="12"/>
  <c r="L378" i="12"/>
  <c r="L380" i="12"/>
  <c r="L406" i="12"/>
  <c r="L407" i="12"/>
  <c r="L433" i="12"/>
  <c r="L434" i="12"/>
  <c r="L452" i="12"/>
  <c r="L453" i="12"/>
  <c r="L461" i="12"/>
  <c r="L462" i="12"/>
  <c r="L470" i="12"/>
  <c r="L479" i="12"/>
  <c r="L480" i="12"/>
  <c r="L488" i="12"/>
  <c r="L489" i="12"/>
  <c r="L497" i="12"/>
  <c r="L498" i="12"/>
  <c r="L506" i="12"/>
  <c r="L508" i="12"/>
  <c r="L516" i="12"/>
  <c r="L517" i="12"/>
  <c r="L526" i="12"/>
  <c r="L535" i="12"/>
  <c r="L543" i="12"/>
  <c r="L544" i="12"/>
  <c r="L552" i="12"/>
  <c r="L561" i="12"/>
  <c r="L562" i="12"/>
  <c r="L572" i="12"/>
  <c r="L581" i="12"/>
  <c r="L589" i="12"/>
  <c r="L598" i="12"/>
  <c r="L599" i="12"/>
  <c r="L17" i="12"/>
  <c r="L25" i="12"/>
  <c r="L32" i="12"/>
  <c r="L33" i="12"/>
  <c r="L40" i="12"/>
  <c r="L41" i="12"/>
  <c r="L48" i="12"/>
  <c r="L49" i="12"/>
  <c r="L56" i="12"/>
  <c r="L57" i="12"/>
  <c r="L64" i="12"/>
  <c r="L73" i="12"/>
  <c r="L89" i="12"/>
  <c r="L97" i="12"/>
  <c r="L104" i="12"/>
  <c r="L105" i="12"/>
  <c r="L112" i="12"/>
  <c r="L113" i="12"/>
  <c r="L121" i="12"/>
  <c r="L128" i="12"/>
  <c r="L137" i="12"/>
  <c r="L152" i="12"/>
  <c r="L160" i="12"/>
  <c r="L168" i="12"/>
  <c r="L169" i="12"/>
  <c r="L177" i="12"/>
  <c r="L184" i="12"/>
  <c r="L185" i="12"/>
  <c r="L192" i="12"/>
  <c r="L201" i="12"/>
  <c r="L209" i="12"/>
  <c r="L217" i="12"/>
  <c r="L225" i="12"/>
  <c r="L232" i="12"/>
  <c r="L241" i="12"/>
  <c r="L249" i="12"/>
  <c r="L256" i="12"/>
  <c r="L274" i="12"/>
  <c r="L283" i="12"/>
  <c r="L290" i="12"/>
  <c r="L291" i="12"/>
  <c r="L299" i="12"/>
  <c r="L301" i="12"/>
  <c r="L308" i="12"/>
  <c r="L309" i="12"/>
  <c r="L317" i="12"/>
  <c r="L318" i="12"/>
  <c r="L334" i="12"/>
  <c r="L411" i="12"/>
  <c r="L475" i="12"/>
  <c r="L483" i="12"/>
  <c r="L611" i="12"/>
  <c r="AI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L65" i="12" s="1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L80" i="12" s="1"/>
  <c r="AI73" i="3"/>
  <c r="L81" i="12" s="1"/>
  <c r="AI74" i="3"/>
  <c r="AI75" i="3"/>
  <c r="AI76" i="3"/>
  <c r="AI77" i="3"/>
  <c r="AI78" i="3"/>
  <c r="AI79" i="3"/>
  <c r="AI80" i="3"/>
  <c r="AI81" i="3"/>
  <c r="L88" i="12" s="1"/>
  <c r="AI82" i="3"/>
  <c r="AI83" i="3"/>
  <c r="AI84" i="3"/>
  <c r="AI85" i="3"/>
  <c r="AI86" i="3"/>
  <c r="AI87" i="3"/>
  <c r="AI88" i="3"/>
  <c r="AI89" i="3"/>
  <c r="L96" i="12" s="1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L145" i="12" s="1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L120" i="12" s="1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L193" i="12" s="1"/>
  <c r="AI209" i="3"/>
  <c r="AI210" i="3"/>
  <c r="AI211" i="3"/>
  <c r="AI212" i="3"/>
  <c r="AI213" i="3"/>
  <c r="AI214" i="3"/>
  <c r="AI215" i="3"/>
  <c r="AI216" i="3"/>
  <c r="AI217" i="3"/>
  <c r="L200" i="12" s="1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L224" i="12" s="1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L129" i="12" s="1"/>
  <c r="AI274" i="3"/>
  <c r="AI275" i="3"/>
  <c r="AI276" i="3"/>
  <c r="AI277" i="3"/>
  <c r="AI278" i="3"/>
  <c r="AI279" i="3"/>
  <c r="AI280" i="3"/>
  <c r="AI281" i="3"/>
  <c r="L248" i="12" s="1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L264" i="12" s="1"/>
  <c r="AI305" i="3"/>
  <c r="L265" i="12" s="1"/>
  <c r="AI306" i="3"/>
  <c r="AI307" i="3"/>
  <c r="AI308" i="3"/>
  <c r="AI309" i="3"/>
  <c r="AI310" i="3"/>
  <c r="AI311" i="3"/>
  <c r="AI312" i="3"/>
  <c r="AI313" i="3"/>
  <c r="L24" i="12" s="1"/>
  <c r="AI314" i="3"/>
  <c r="AI315" i="3"/>
  <c r="AI316" i="3"/>
  <c r="AI317" i="3"/>
  <c r="AI318" i="3"/>
  <c r="AI319" i="3"/>
  <c r="AI320" i="3"/>
  <c r="AI321" i="3"/>
  <c r="L240" i="12" s="1"/>
  <c r="AI322" i="3"/>
  <c r="AI323" i="3"/>
  <c r="AI324" i="3"/>
  <c r="AI325" i="3"/>
  <c r="AI326" i="3"/>
  <c r="AI327" i="3"/>
  <c r="AI328" i="3"/>
  <c r="AI329" i="3"/>
  <c r="L282" i="12" s="1"/>
  <c r="AI330" i="3"/>
  <c r="AI331" i="3"/>
  <c r="AI332" i="3"/>
  <c r="AI333" i="3"/>
  <c r="AI334" i="3"/>
  <c r="AI335" i="3"/>
  <c r="AI336" i="3"/>
  <c r="AI337" i="3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I350" i="3"/>
  <c r="AI351" i="3"/>
  <c r="AI352" i="3"/>
  <c r="AI353" i="3"/>
  <c r="AI354" i="3"/>
  <c r="AI355" i="3"/>
  <c r="AI356" i="3"/>
  <c r="AI357" i="3"/>
  <c r="AI358" i="3"/>
  <c r="AI359" i="3"/>
  <c r="AI360" i="3"/>
  <c r="AI361" i="3"/>
  <c r="AI362" i="3"/>
  <c r="AI363" i="3"/>
  <c r="AI364" i="3"/>
  <c r="AI365" i="3"/>
  <c r="AI366" i="3"/>
  <c r="AI367" i="3"/>
  <c r="AI368" i="3"/>
  <c r="AI369" i="3"/>
  <c r="AI370" i="3"/>
  <c r="AI371" i="3"/>
  <c r="AI372" i="3"/>
  <c r="AI373" i="3"/>
  <c r="AI374" i="3"/>
  <c r="AI375" i="3"/>
  <c r="AI376" i="3"/>
  <c r="AI377" i="3"/>
  <c r="AI378" i="3"/>
  <c r="AI379" i="3"/>
  <c r="AI380" i="3"/>
  <c r="AI381" i="3"/>
  <c r="AI382" i="3"/>
  <c r="AI383" i="3"/>
  <c r="AI384" i="3"/>
  <c r="L153" i="12" s="1"/>
  <c r="AI385" i="3"/>
  <c r="AI386" i="3"/>
  <c r="AI387" i="3"/>
  <c r="AI388" i="3"/>
  <c r="AI389" i="3"/>
  <c r="AI390" i="3"/>
  <c r="AI391" i="3"/>
  <c r="AI392" i="3"/>
  <c r="L325" i="12" s="1"/>
  <c r="AI393" i="3"/>
  <c r="L326" i="12" s="1"/>
  <c r="AI394" i="3"/>
  <c r="AI395" i="3"/>
  <c r="AI396" i="3"/>
  <c r="AI397" i="3"/>
  <c r="AI398" i="3"/>
  <c r="AI399" i="3"/>
  <c r="AI400" i="3"/>
  <c r="AI401" i="3"/>
  <c r="L333" i="12" s="1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L176" i="12" s="1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L349" i="12" s="1"/>
  <c r="AI433" i="3"/>
  <c r="AI434" i="3"/>
  <c r="AI435" i="3"/>
  <c r="AI436" i="3"/>
  <c r="AI437" i="3"/>
  <c r="AI438" i="3"/>
  <c r="AI439" i="3"/>
  <c r="AI440" i="3"/>
  <c r="L355" i="12" s="1"/>
  <c r="AI441" i="3"/>
  <c r="AI442" i="3"/>
  <c r="AI443" i="3"/>
  <c r="AI444" i="3"/>
  <c r="AI445" i="3"/>
  <c r="AI446" i="3"/>
  <c r="AI447" i="3"/>
  <c r="AI448" i="3"/>
  <c r="L360" i="12" s="1"/>
  <c r="AI449" i="3"/>
  <c r="L361" i="12" s="1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L208" i="12" s="1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5" i="3"/>
  <c r="AI486" i="3"/>
  <c r="AI487" i="3"/>
  <c r="AI488" i="3"/>
  <c r="L388" i="12" s="1"/>
  <c r="AI489" i="3"/>
  <c r="L389" i="12" s="1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L397" i="12" s="1"/>
  <c r="AI513" i="3"/>
  <c r="L398" i="12" s="1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L415" i="12" s="1"/>
  <c r="AI537" i="3"/>
  <c r="L416" i="12" s="1"/>
  <c r="AI538" i="3"/>
  <c r="AI539" i="3"/>
  <c r="AI540" i="3"/>
  <c r="AI541" i="3"/>
  <c r="AI542" i="3"/>
  <c r="AI543" i="3"/>
  <c r="AI544" i="3"/>
  <c r="L419" i="12" s="1"/>
  <c r="AI545" i="3"/>
  <c r="AI546" i="3"/>
  <c r="AI547" i="3"/>
  <c r="AI548" i="3"/>
  <c r="AI549" i="3"/>
  <c r="AI550" i="3"/>
  <c r="AI551" i="3"/>
  <c r="AI552" i="3"/>
  <c r="L424" i="12" s="1"/>
  <c r="AI553" i="3"/>
  <c r="AI554" i="3"/>
  <c r="AI555" i="3"/>
  <c r="AI556" i="3"/>
  <c r="AI557" i="3"/>
  <c r="AI558" i="3"/>
  <c r="AI559" i="3"/>
  <c r="AI560" i="3"/>
  <c r="AI561" i="3"/>
  <c r="L273" i="12" s="1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3" i="3"/>
  <c r="AI584" i="3"/>
  <c r="L442" i="12" s="1"/>
  <c r="AI585" i="3"/>
  <c r="AI586" i="3"/>
  <c r="AI587" i="3"/>
  <c r="AI588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L257" i="12" s="1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L471" i="12" s="1"/>
  <c r="AI649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6" i="3"/>
  <c r="AI667" i="3"/>
  <c r="AI668" i="3"/>
  <c r="AI669" i="3"/>
  <c r="AI670" i="3"/>
  <c r="AI671" i="3"/>
  <c r="AI672" i="3"/>
  <c r="AI673" i="3"/>
  <c r="AI674" i="3"/>
  <c r="AI675" i="3"/>
  <c r="AI676" i="3"/>
  <c r="AI677" i="3"/>
  <c r="AI678" i="3"/>
  <c r="AI679" i="3"/>
  <c r="AI680" i="3"/>
  <c r="AI681" i="3"/>
  <c r="AI682" i="3"/>
  <c r="AI683" i="3"/>
  <c r="AI684" i="3"/>
  <c r="AI685" i="3"/>
  <c r="AI686" i="3"/>
  <c r="AI687" i="3"/>
  <c r="AI688" i="3"/>
  <c r="AI689" i="3"/>
  <c r="L16" i="12" s="1"/>
  <c r="AI690" i="3"/>
  <c r="AI691" i="3"/>
  <c r="AI692" i="3"/>
  <c r="AI693" i="3"/>
  <c r="AI694" i="3"/>
  <c r="AI695" i="3"/>
  <c r="AI696" i="3"/>
  <c r="AI697" i="3"/>
  <c r="AI698" i="3"/>
  <c r="AI699" i="3"/>
  <c r="AI700" i="3"/>
  <c r="AI701" i="3"/>
  <c r="AI702" i="3"/>
  <c r="AI703" i="3"/>
  <c r="AI704" i="3"/>
  <c r="AI705" i="3"/>
  <c r="AI706" i="3"/>
  <c r="AI707" i="3"/>
  <c r="AI708" i="3"/>
  <c r="AI709" i="3"/>
  <c r="AI710" i="3"/>
  <c r="AI711" i="3"/>
  <c r="AI712" i="3"/>
  <c r="AI713" i="3"/>
  <c r="L216" i="12" s="1"/>
  <c r="AI714" i="3"/>
  <c r="AI715" i="3"/>
  <c r="AI716" i="3"/>
  <c r="AI717" i="3"/>
  <c r="AI718" i="3"/>
  <c r="AI719" i="3"/>
  <c r="AI720" i="3"/>
  <c r="AI721" i="3"/>
  <c r="L161" i="12" s="1"/>
  <c r="AI722" i="3"/>
  <c r="AI723" i="3"/>
  <c r="AI724" i="3"/>
  <c r="AI725" i="3"/>
  <c r="AI726" i="3"/>
  <c r="AI727" i="3"/>
  <c r="AI728" i="3"/>
  <c r="AI729" i="3"/>
  <c r="AI730" i="3"/>
  <c r="AI731" i="3"/>
  <c r="AI732" i="3"/>
  <c r="AI733" i="3"/>
  <c r="AI734" i="3"/>
  <c r="AI735" i="3"/>
  <c r="AI736" i="3"/>
  <c r="AI737" i="3"/>
  <c r="AI738" i="3"/>
  <c r="AI739" i="3"/>
  <c r="AI740" i="3"/>
  <c r="AI741" i="3"/>
  <c r="AI742" i="3"/>
  <c r="AI743" i="3"/>
  <c r="AI744" i="3"/>
  <c r="L370" i="12" s="1"/>
  <c r="AI745" i="3"/>
  <c r="AI746" i="3"/>
  <c r="AI747" i="3"/>
  <c r="AI748" i="3"/>
  <c r="AI749" i="3"/>
  <c r="AI750" i="3"/>
  <c r="AI751" i="3"/>
  <c r="AI752" i="3"/>
  <c r="AI753" i="3"/>
  <c r="AI754" i="3"/>
  <c r="AI755" i="3"/>
  <c r="AI756" i="3"/>
  <c r="AI757" i="3"/>
  <c r="AI758" i="3"/>
  <c r="AI759" i="3"/>
  <c r="AI760" i="3"/>
  <c r="AI761" i="3"/>
  <c r="AI762" i="3"/>
  <c r="AI763" i="3"/>
  <c r="AI764" i="3"/>
  <c r="AI765" i="3"/>
  <c r="AI766" i="3"/>
  <c r="AI767" i="3"/>
  <c r="AI768" i="3"/>
  <c r="AI769" i="3"/>
  <c r="AI770" i="3"/>
  <c r="AI771" i="3"/>
  <c r="AI772" i="3"/>
  <c r="AI773" i="3"/>
  <c r="AI774" i="3"/>
  <c r="AI775" i="3"/>
  <c r="AI776" i="3"/>
  <c r="AI777" i="3"/>
  <c r="AI778" i="3"/>
  <c r="AI779" i="3"/>
  <c r="AI780" i="3"/>
  <c r="AI781" i="3"/>
  <c r="AI782" i="3"/>
  <c r="AI783" i="3"/>
  <c r="AI784" i="3"/>
  <c r="L534" i="12" s="1"/>
  <c r="AI785" i="3"/>
  <c r="AI786" i="3"/>
  <c r="AI787" i="3"/>
  <c r="AI788" i="3"/>
  <c r="AI789" i="3"/>
  <c r="AI790" i="3"/>
  <c r="AI791" i="3"/>
  <c r="AI792" i="3"/>
  <c r="L539" i="12" s="1"/>
  <c r="AI793" i="3"/>
  <c r="L369" i="12" s="1"/>
  <c r="AI794" i="3"/>
  <c r="AI795" i="3"/>
  <c r="AI796" i="3"/>
  <c r="AI797" i="3"/>
  <c r="AI798" i="3"/>
  <c r="AI799" i="3"/>
  <c r="AI800" i="3"/>
  <c r="AI801" i="3"/>
  <c r="AI802" i="3"/>
  <c r="AI803" i="3"/>
  <c r="AI804" i="3"/>
  <c r="AI805" i="3"/>
  <c r="AI806" i="3"/>
  <c r="AI807" i="3"/>
  <c r="AI808" i="3"/>
  <c r="L547" i="12" s="1"/>
  <c r="AI809" i="3"/>
  <c r="AI810" i="3"/>
  <c r="AI811" i="3"/>
  <c r="AI812" i="3"/>
  <c r="AI813" i="3"/>
  <c r="AI814" i="3"/>
  <c r="AI815" i="3"/>
  <c r="AI816" i="3"/>
  <c r="AI817" i="3"/>
  <c r="AI818" i="3"/>
  <c r="AI819" i="3"/>
  <c r="AI820" i="3"/>
  <c r="AI821" i="3"/>
  <c r="AI822" i="3"/>
  <c r="AI823" i="3"/>
  <c r="AI824" i="3"/>
  <c r="L553" i="12" s="1"/>
  <c r="AI825" i="3"/>
  <c r="AI826" i="3"/>
  <c r="AI827" i="3"/>
  <c r="AI828" i="3"/>
  <c r="AI829" i="3"/>
  <c r="AI830" i="3"/>
  <c r="AI831" i="3"/>
  <c r="AI832" i="3"/>
  <c r="L425" i="12" s="1"/>
  <c r="AI833" i="3"/>
  <c r="AI834" i="3"/>
  <c r="AI835" i="3"/>
  <c r="AI836" i="3"/>
  <c r="AI837" i="3"/>
  <c r="AI838" i="3"/>
  <c r="AI839" i="3"/>
  <c r="AI840" i="3"/>
  <c r="AI841" i="3"/>
  <c r="AI842" i="3"/>
  <c r="AI843" i="3"/>
  <c r="AI844" i="3"/>
  <c r="AI845" i="3"/>
  <c r="AI846" i="3"/>
  <c r="AI847" i="3"/>
  <c r="AI848" i="3"/>
  <c r="L444" i="12" s="1"/>
  <c r="AI849" i="3"/>
  <c r="AI850" i="3"/>
  <c r="AI851" i="3"/>
  <c r="AI852" i="3"/>
  <c r="AI853" i="3"/>
  <c r="AI854" i="3"/>
  <c r="AI855" i="3"/>
  <c r="AI856" i="3"/>
  <c r="AI857" i="3"/>
  <c r="AI858" i="3"/>
  <c r="AI859" i="3"/>
  <c r="AI860" i="3"/>
  <c r="AI861" i="3"/>
  <c r="AI862" i="3"/>
  <c r="AI863" i="3"/>
  <c r="AI864" i="3"/>
  <c r="AI865" i="3"/>
  <c r="AI866" i="3"/>
  <c r="AI867" i="3"/>
  <c r="AI868" i="3"/>
  <c r="AI869" i="3"/>
  <c r="AI870" i="3"/>
  <c r="AI871" i="3"/>
  <c r="AI872" i="3"/>
  <c r="AI873" i="3"/>
  <c r="L570" i="12" s="1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886" i="3"/>
  <c r="AI887" i="3"/>
  <c r="AI888" i="3"/>
  <c r="L233" i="12" s="1"/>
  <c r="AI889" i="3"/>
  <c r="AI890" i="3"/>
  <c r="AI891" i="3"/>
  <c r="AI892" i="3"/>
  <c r="AI893" i="3"/>
  <c r="AI894" i="3"/>
  <c r="AI895" i="3"/>
  <c r="AI896" i="3"/>
  <c r="AI897" i="3"/>
  <c r="AI898" i="3"/>
  <c r="AI899" i="3"/>
  <c r="AI900" i="3"/>
  <c r="AI901" i="3"/>
  <c r="AI902" i="3"/>
  <c r="AI903" i="3"/>
  <c r="AI904" i="3"/>
  <c r="AI905" i="3"/>
  <c r="L580" i="12" s="1"/>
  <c r="AI906" i="3"/>
  <c r="AI907" i="3"/>
  <c r="AI908" i="3"/>
  <c r="AI909" i="3"/>
  <c r="AI910" i="3"/>
  <c r="AI911" i="3"/>
  <c r="AI912" i="3"/>
  <c r="AI913" i="3"/>
  <c r="AI914" i="3"/>
  <c r="AI915" i="3"/>
  <c r="AI916" i="3"/>
  <c r="AI917" i="3"/>
  <c r="AI918" i="3"/>
  <c r="AI919" i="3"/>
  <c r="AI920" i="3"/>
  <c r="AI921" i="3"/>
  <c r="AI922" i="3"/>
  <c r="AI923" i="3"/>
  <c r="AI924" i="3"/>
  <c r="AI925" i="3"/>
  <c r="AI926" i="3"/>
  <c r="AI927" i="3"/>
  <c r="AI928" i="3"/>
  <c r="AI929" i="3"/>
  <c r="AI930" i="3"/>
  <c r="AI931" i="3"/>
  <c r="AI932" i="3"/>
  <c r="AI933" i="3"/>
  <c r="AI934" i="3"/>
  <c r="AI935" i="3"/>
  <c r="AI936" i="3"/>
  <c r="L590" i="12" s="1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56" i="3"/>
  <c r="AI957" i="3"/>
  <c r="AI958" i="3"/>
  <c r="AI959" i="3"/>
  <c r="AI960" i="3"/>
  <c r="AI961" i="3"/>
  <c r="AI962" i="3"/>
  <c r="AI963" i="3"/>
  <c r="AI964" i="3"/>
  <c r="AI965" i="3"/>
  <c r="AI966" i="3"/>
  <c r="AI967" i="3"/>
  <c r="AI968" i="3"/>
  <c r="AI969" i="3"/>
  <c r="L603" i="12" s="1"/>
  <c r="AI970" i="3"/>
  <c r="AI971" i="3"/>
  <c r="AI972" i="3"/>
  <c r="AI973" i="3"/>
  <c r="AI974" i="3"/>
  <c r="AI975" i="3"/>
  <c r="AI976" i="3"/>
  <c r="AI977" i="3"/>
  <c r="AI978" i="3"/>
  <c r="AI979" i="3"/>
  <c r="AI980" i="3"/>
  <c r="AI981" i="3"/>
  <c r="AI982" i="3"/>
  <c r="AI983" i="3"/>
  <c r="AI984" i="3"/>
  <c r="AI985" i="3"/>
  <c r="AI986" i="3"/>
  <c r="AI987" i="3"/>
  <c r="AI988" i="3"/>
  <c r="AI989" i="3"/>
  <c r="AI990" i="3"/>
  <c r="AI991" i="3"/>
  <c r="AI992" i="3"/>
  <c r="L607" i="12" s="1"/>
  <c r="AI993" i="3"/>
  <c r="L608" i="12" s="1"/>
  <c r="AI994" i="3"/>
  <c r="AI995" i="3"/>
  <c r="AI996" i="3"/>
  <c r="AI997" i="3"/>
  <c r="AI998" i="3"/>
  <c r="AI999" i="3"/>
  <c r="AI1000" i="3"/>
  <c r="AI1001" i="3"/>
  <c r="AA991" i="3"/>
  <c r="W1002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1002" i="3"/>
  <c r="B86" i="11" a="1"/>
  <c r="B86" i="11" s="1"/>
  <c r="T1002" i="3"/>
  <c r="B67" i="11" a="1"/>
  <c r="B67" i="11" s="1"/>
  <c r="C67" i="11" s="1" a="1"/>
  <c r="C67" i="11" s="1"/>
  <c r="AA8" i="3"/>
  <c r="AD8" i="3" s="1"/>
  <c r="AB4" i="3" a="1"/>
  <c r="AB4" i="3" s="1"/>
  <c r="AC4" i="3" s="1"/>
  <c r="AB5" i="3" a="1"/>
  <c r="AB5" i="3" s="1"/>
  <c r="AC5" i="3" s="1"/>
  <c r="AB6" i="3" a="1"/>
  <c r="AB6" i="3" s="1"/>
  <c r="AC6" i="3" s="1"/>
  <c r="AB7" i="3" a="1"/>
  <c r="AB7" i="3" s="1"/>
  <c r="AC7" i="3" s="1"/>
  <c r="AB8" i="3" a="1"/>
  <c r="AB8" i="3" s="1"/>
  <c r="AC8" i="3" s="1"/>
  <c r="AB9" i="3" a="1"/>
  <c r="AB9" i="3" s="1"/>
  <c r="AC9" i="3" s="1"/>
  <c r="AB10" i="3" a="1"/>
  <c r="AB10" i="3" s="1"/>
  <c r="AC10" i="3" s="1"/>
  <c r="AB11" i="3" a="1"/>
  <c r="AB11" i="3" s="1"/>
  <c r="AC11" i="3" s="1"/>
  <c r="AB12" i="3" a="1"/>
  <c r="AB12" i="3" s="1"/>
  <c r="AC12" i="3" s="1"/>
  <c r="AB13" i="3" a="1"/>
  <c r="AB13" i="3" s="1"/>
  <c r="AC13" i="3" s="1"/>
  <c r="AB14" i="3" a="1"/>
  <c r="AB14" i="3" s="1"/>
  <c r="AC14" i="3" s="1"/>
  <c r="AB15" i="3" a="1"/>
  <c r="AB15" i="3" s="1"/>
  <c r="AC15" i="3" s="1"/>
  <c r="AB16" i="3" a="1"/>
  <c r="AB16" i="3" s="1"/>
  <c r="AC16" i="3" s="1"/>
  <c r="AB17" i="3" a="1"/>
  <c r="AB17" i="3" s="1"/>
  <c r="AC17" i="3" s="1"/>
  <c r="AB18" i="3" a="1"/>
  <c r="AB18" i="3" s="1"/>
  <c r="AC18" i="3" s="1"/>
  <c r="AB19" i="3" a="1"/>
  <c r="AB19" i="3" s="1"/>
  <c r="AC19" i="3" s="1"/>
  <c r="AB20" i="3" a="1"/>
  <c r="AB20" i="3" s="1"/>
  <c r="AC20" i="3" s="1"/>
  <c r="AB21" i="3" a="1"/>
  <c r="AB21" i="3" s="1"/>
  <c r="AC21" i="3" s="1"/>
  <c r="AB22" i="3" a="1"/>
  <c r="AB22" i="3" s="1"/>
  <c r="AC22" i="3" s="1"/>
  <c r="AB23" i="3" a="1"/>
  <c r="AB23" i="3" s="1"/>
  <c r="AC23" i="3" s="1"/>
  <c r="AB24" i="3" a="1"/>
  <c r="AB24" i="3" s="1"/>
  <c r="AC24" i="3" s="1"/>
  <c r="AB25" i="3" a="1"/>
  <c r="AB25" i="3" s="1"/>
  <c r="AC25" i="3" s="1"/>
  <c r="AB26" i="3" a="1"/>
  <c r="AB26" i="3" s="1"/>
  <c r="AC26" i="3" s="1"/>
  <c r="AB27" i="3" a="1"/>
  <c r="AB27" i="3" s="1"/>
  <c r="AC27" i="3" s="1"/>
  <c r="AB28" i="3" a="1"/>
  <c r="AB28" i="3" s="1"/>
  <c r="AC28" i="3" s="1"/>
  <c r="AB29" i="3" a="1"/>
  <c r="AB29" i="3" s="1"/>
  <c r="AC29" i="3" s="1"/>
  <c r="AB30" i="3" a="1"/>
  <c r="AB30" i="3" s="1"/>
  <c r="AC30" i="3" s="1"/>
  <c r="AB31" i="3" a="1"/>
  <c r="AB31" i="3" s="1"/>
  <c r="AC31" i="3" s="1"/>
  <c r="AB32" i="3" a="1"/>
  <c r="AB32" i="3" s="1"/>
  <c r="AC32" i="3" s="1"/>
  <c r="AB33" i="3" a="1"/>
  <c r="AB33" i="3" s="1"/>
  <c r="AC33" i="3" s="1"/>
  <c r="AB34" i="3" a="1"/>
  <c r="AB34" i="3" s="1"/>
  <c r="AC34" i="3" s="1"/>
  <c r="AB35" i="3" a="1"/>
  <c r="AB35" i="3" s="1"/>
  <c r="AC35" i="3" s="1"/>
  <c r="AB36" i="3" a="1"/>
  <c r="AB36" i="3" s="1"/>
  <c r="AC36" i="3" s="1"/>
  <c r="AB37" i="3" a="1"/>
  <c r="AB37" i="3" s="1"/>
  <c r="AC37" i="3" s="1"/>
  <c r="AB38" i="3" a="1"/>
  <c r="AB38" i="3" s="1"/>
  <c r="AC38" i="3" s="1"/>
  <c r="AB39" i="3" a="1"/>
  <c r="AB39" i="3" s="1"/>
  <c r="AC39" i="3" s="1"/>
  <c r="AB40" i="3" a="1"/>
  <c r="AB40" i="3" s="1"/>
  <c r="AC40" i="3" s="1"/>
  <c r="AB41" i="3" a="1"/>
  <c r="AB41" i="3" s="1"/>
  <c r="AC41" i="3" s="1"/>
  <c r="AB42" i="3" a="1"/>
  <c r="AB42" i="3" s="1"/>
  <c r="AC42" i="3" s="1"/>
  <c r="AB43" i="3" a="1"/>
  <c r="AB43" i="3" s="1"/>
  <c r="AC43" i="3" s="1"/>
  <c r="AB44" i="3" a="1"/>
  <c r="AB44" i="3" s="1"/>
  <c r="AC44" i="3" s="1"/>
  <c r="AB45" i="3" a="1"/>
  <c r="AB45" i="3" s="1"/>
  <c r="AC45" i="3" s="1"/>
  <c r="AB46" i="3" a="1"/>
  <c r="AB46" i="3" s="1"/>
  <c r="AC46" i="3" s="1"/>
  <c r="AB47" i="3" a="1"/>
  <c r="AB47" i="3" s="1"/>
  <c r="AC47" i="3" s="1"/>
  <c r="AB48" i="3" a="1"/>
  <c r="AB48" i="3" s="1"/>
  <c r="AC48" i="3" s="1"/>
  <c r="AB49" i="3" a="1"/>
  <c r="AB49" i="3" s="1"/>
  <c r="AC49" i="3" s="1"/>
  <c r="AB50" i="3" a="1"/>
  <c r="AB50" i="3" s="1"/>
  <c r="AC50" i="3" s="1"/>
  <c r="AB51" i="3" a="1"/>
  <c r="AB51" i="3" s="1"/>
  <c r="AC51" i="3" s="1"/>
  <c r="AB52" i="3" a="1"/>
  <c r="AB52" i="3" s="1"/>
  <c r="AC52" i="3" s="1"/>
  <c r="AB53" i="3" a="1"/>
  <c r="AB53" i="3" s="1"/>
  <c r="AC53" i="3" s="1"/>
  <c r="AB54" i="3" a="1"/>
  <c r="AB54" i="3" s="1"/>
  <c r="AC54" i="3" s="1"/>
  <c r="AB55" i="3" a="1"/>
  <c r="AB55" i="3" s="1"/>
  <c r="AC55" i="3" s="1"/>
  <c r="AB56" i="3" a="1"/>
  <c r="AB56" i="3" s="1"/>
  <c r="AC56" i="3" s="1"/>
  <c r="AB57" i="3" a="1"/>
  <c r="AB57" i="3" s="1"/>
  <c r="AC57" i="3" s="1"/>
  <c r="AB58" i="3" a="1"/>
  <c r="AB58" i="3" s="1"/>
  <c r="AC58" i="3" s="1"/>
  <c r="AB59" i="3" a="1"/>
  <c r="AB59" i="3" s="1"/>
  <c r="AC59" i="3" s="1"/>
  <c r="AB60" i="3" a="1"/>
  <c r="AB60" i="3" s="1"/>
  <c r="AC60" i="3" s="1"/>
  <c r="AB61" i="3" a="1"/>
  <c r="AB61" i="3" s="1"/>
  <c r="AC61" i="3" s="1"/>
  <c r="AB62" i="3" a="1"/>
  <c r="AB62" i="3" s="1"/>
  <c r="AC62" i="3" s="1"/>
  <c r="AB63" i="3" a="1"/>
  <c r="AB63" i="3" s="1"/>
  <c r="AC63" i="3" s="1"/>
  <c r="AB64" i="3" a="1"/>
  <c r="AB64" i="3" s="1"/>
  <c r="AC64" i="3" s="1"/>
  <c r="AB65" i="3" a="1"/>
  <c r="AB65" i="3" s="1"/>
  <c r="AC65" i="3" s="1"/>
  <c r="AB66" i="3" a="1"/>
  <c r="AB66" i="3" s="1"/>
  <c r="AC66" i="3" s="1"/>
  <c r="AB67" i="3" a="1"/>
  <c r="AB67" i="3" s="1"/>
  <c r="AC67" i="3" s="1"/>
  <c r="AB68" i="3" a="1"/>
  <c r="AB68" i="3" s="1"/>
  <c r="AC68" i="3" s="1"/>
  <c r="AB69" i="3" a="1"/>
  <c r="AB69" i="3" s="1"/>
  <c r="AC69" i="3" s="1"/>
  <c r="AB70" i="3" a="1"/>
  <c r="AB70" i="3" s="1"/>
  <c r="AC70" i="3" s="1"/>
  <c r="AB71" i="3" a="1"/>
  <c r="AB71" i="3" s="1"/>
  <c r="AC71" i="3" s="1"/>
  <c r="AB72" i="3" a="1"/>
  <c r="AB72" i="3" s="1"/>
  <c r="AC72" i="3" s="1"/>
  <c r="AB73" i="3" a="1"/>
  <c r="AB73" i="3" s="1"/>
  <c r="AC73" i="3" s="1"/>
  <c r="AB74" i="3" a="1"/>
  <c r="AB74" i="3" s="1"/>
  <c r="AC74" i="3" s="1"/>
  <c r="AB75" i="3" a="1"/>
  <c r="AB75" i="3" s="1"/>
  <c r="AC75" i="3" s="1"/>
  <c r="AB76" i="3" a="1"/>
  <c r="AB76" i="3" s="1"/>
  <c r="AC76" i="3" s="1"/>
  <c r="AB77" i="3" a="1"/>
  <c r="AB77" i="3" s="1"/>
  <c r="AC77" i="3" s="1"/>
  <c r="AB78" i="3" a="1"/>
  <c r="AB78" i="3" s="1"/>
  <c r="AC78" i="3" s="1"/>
  <c r="AB79" i="3" a="1"/>
  <c r="AB79" i="3" s="1"/>
  <c r="AC79" i="3" s="1"/>
  <c r="AB80" i="3" a="1"/>
  <c r="AB80" i="3" s="1"/>
  <c r="AC80" i="3" s="1"/>
  <c r="AB81" i="3" a="1"/>
  <c r="AB81" i="3" s="1"/>
  <c r="AC81" i="3" s="1"/>
  <c r="AB82" i="3" a="1"/>
  <c r="AB82" i="3" s="1"/>
  <c r="AC82" i="3" s="1"/>
  <c r="AB83" i="3" a="1"/>
  <c r="AB83" i="3" s="1"/>
  <c r="AC83" i="3" s="1"/>
  <c r="AB84" i="3" a="1"/>
  <c r="AB84" i="3" s="1"/>
  <c r="AC84" i="3" s="1"/>
  <c r="AB85" i="3" a="1"/>
  <c r="AB85" i="3" s="1"/>
  <c r="AC85" i="3" s="1"/>
  <c r="AB86" i="3" a="1"/>
  <c r="AB86" i="3" s="1"/>
  <c r="AC86" i="3" s="1"/>
  <c r="AB87" i="3" a="1"/>
  <c r="AB87" i="3" s="1"/>
  <c r="AC87" i="3" s="1"/>
  <c r="AB88" i="3" a="1"/>
  <c r="AB88" i="3" s="1"/>
  <c r="AC88" i="3" s="1"/>
  <c r="AB89" i="3" a="1"/>
  <c r="AB89" i="3" s="1"/>
  <c r="AC89" i="3" s="1"/>
  <c r="AB90" i="3" a="1"/>
  <c r="AB90" i="3" s="1"/>
  <c r="AC90" i="3" s="1"/>
  <c r="AB91" i="3" a="1"/>
  <c r="AB91" i="3" s="1"/>
  <c r="AC91" i="3" s="1"/>
  <c r="AB92" i="3" a="1"/>
  <c r="AB92" i="3" s="1"/>
  <c r="AC92" i="3" s="1"/>
  <c r="AB93" i="3" a="1"/>
  <c r="AB93" i="3" s="1"/>
  <c r="AC93" i="3" s="1"/>
  <c r="AB94" i="3" a="1"/>
  <c r="AB94" i="3" s="1"/>
  <c r="AC94" i="3" s="1"/>
  <c r="AB95" i="3" a="1"/>
  <c r="AB95" i="3" s="1"/>
  <c r="AC95" i="3" s="1"/>
  <c r="AB96" i="3" a="1"/>
  <c r="AB96" i="3" s="1"/>
  <c r="AC96" i="3" s="1"/>
  <c r="AB97" i="3" a="1"/>
  <c r="AB97" i="3" s="1"/>
  <c r="AC97" i="3" s="1"/>
  <c r="AB98" i="3" a="1"/>
  <c r="AB98" i="3" s="1"/>
  <c r="AC98" i="3" s="1"/>
  <c r="AB99" i="3" a="1"/>
  <c r="AB99" i="3" s="1"/>
  <c r="AC99" i="3" s="1"/>
  <c r="AB100" i="3" a="1"/>
  <c r="AB100" i="3" s="1"/>
  <c r="AC100" i="3" s="1"/>
  <c r="AB101" i="3" a="1"/>
  <c r="AB101" i="3" s="1"/>
  <c r="AC101" i="3" s="1"/>
  <c r="AB102" i="3" a="1"/>
  <c r="AB102" i="3" s="1"/>
  <c r="AC102" i="3" s="1"/>
  <c r="AB103" i="3" a="1"/>
  <c r="AB103" i="3" s="1"/>
  <c r="AC103" i="3" s="1"/>
  <c r="AB104" i="3" a="1"/>
  <c r="AB104" i="3" s="1"/>
  <c r="AC104" i="3" s="1"/>
  <c r="AB105" i="3" a="1"/>
  <c r="AB105" i="3" s="1"/>
  <c r="AC105" i="3" s="1"/>
  <c r="AB106" i="3" a="1"/>
  <c r="AB106" i="3" s="1"/>
  <c r="AC106" i="3" s="1"/>
  <c r="AB107" i="3" a="1"/>
  <c r="AB107" i="3" s="1"/>
  <c r="AC107" i="3" s="1"/>
  <c r="AB108" i="3" a="1"/>
  <c r="AB108" i="3" s="1"/>
  <c r="AC108" i="3" s="1"/>
  <c r="AB109" i="3" a="1"/>
  <c r="AB109" i="3" s="1"/>
  <c r="AC109" i="3" s="1"/>
  <c r="AB110" i="3" a="1"/>
  <c r="AB110" i="3" s="1"/>
  <c r="AC110" i="3" s="1"/>
  <c r="AB111" i="3" a="1"/>
  <c r="AB111" i="3" s="1"/>
  <c r="AC111" i="3" s="1"/>
  <c r="AB112" i="3" a="1"/>
  <c r="AB112" i="3" s="1"/>
  <c r="AC112" i="3" s="1"/>
  <c r="AB113" i="3" a="1"/>
  <c r="AB113" i="3" s="1"/>
  <c r="AC113" i="3" s="1"/>
  <c r="AB114" i="3" a="1"/>
  <c r="AB114" i="3" s="1"/>
  <c r="AC114" i="3" s="1"/>
  <c r="AB115" i="3" a="1"/>
  <c r="AB115" i="3" s="1"/>
  <c r="AC115" i="3" s="1"/>
  <c r="AB116" i="3" a="1"/>
  <c r="AB116" i="3" s="1"/>
  <c r="AC116" i="3" s="1"/>
  <c r="AB117" i="3" a="1"/>
  <c r="AB117" i="3" s="1"/>
  <c r="AC117" i="3" s="1"/>
  <c r="AB118" i="3" a="1"/>
  <c r="AB118" i="3" s="1"/>
  <c r="AC118" i="3" s="1"/>
  <c r="AB119" i="3" a="1"/>
  <c r="AB119" i="3" s="1"/>
  <c r="AC119" i="3" s="1"/>
  <c r="AB120" i="3" a="1"/>
  <c r="AB120" i="3" s="1"/>
  <c r="AC120" i="3" s="1"/>
  <c r="AB121" i="3" a="1"/>
  <c r="AB121" i="3" s="1"/>
  <c r="AC121" i="3" s="1"/>
  <c r="AB122" i="3" a="1"/>
  <c r="AB122" i="3" s="1"/>
  <c r="AC122" i="3" s="1"/>
  <c r="AB123" i="3" a="1"/>
  <c r="AB123" i="3" s="1"/>
  <c r="AC123" i="3" s="1"/>
  <c r="AB124" i="3" a="1"/>
  <c r="AB124" i="3" s="1"/>
  <c r="AC124" i="3" s="1"/>
  <c r="AB125" i="3" a="1"/>
  <c r="AB125" i="3" s="1"/>
  <c r="AC125" i="3" s="1"/>
  <c r="AB126" i="3" a="1"/>
  <c r="AB126" i="3" s="1"/>
  <c r="AC126" i="3" s="1"/>
  <c r="AB127" i="3" a="1"/>
  <c r="AB127" i="3" s="1"/>
  <c r="AC127" i="3" s="1"/>
  <c r="AB128" i="3" a="1"/>
  <c r="AB128" i="3" s="1"/>
  <c r="AC128" i="3" s="1"/>
  <c r="AB129" i="3" a="1"/>
  <c r="AB129" i="3" s="1"/>
  <c r="AC129" i="3" s="1"/>
  <c r="AB130" i="3" a="1"/>
  <c r="AB130" i="3" s="1"/>
  <c r="AC130" i="3" s="1"/>
  <c r="AB131" i="3" a="1"/>
  <c r="AB131" i="3" s="1"/>
  <c r="AC131" i="3" s="1"/>
  <c r="AB132" i="3" a="1"/>
  <c r="AB132" i="3" s="1"/>
  <c r="AC132" i="3" s="1"/>
  <c r="AB133" i="3" a="1"/>
  <c r="AB133" i="3" s="1"/>
  <c r="AC133" i="3" s="1"/>
  <c r="AB134" i="3" a="1"/>
  <c r="AB134" i="3" s="1"/>
  <c r="AC134" i="3" s="1"/>
  <c r="AB135" i="3" a="1"/>
  <c r="AB135" i="3" s="1"/>
  <c r="AC135" i="3" s="1"/>
  <c r="AB136" i="3" a="1"/>
  <c r="AB136" i="3" s="1"/>
  <c r="AC136" i="3" s="1"/>
  <c r="AB137" i="3" a="1"/>
  <c r="AB137" i="3" s="1"/>
  <c r="AC137" i="3" s="1"/>
  <c r="AB138" i="3" a="1"/>
  <c r="AB138" i="3" s="1"/>
  <c r="AC138" i="3" s="1"/>
  <c r="AB139" i="3" a="1"/>
  <c r="AB139" i="3" s="1"/>
  <c r="AC139" i="3" s="1"/>
  <c r="AB140" i="3" a="1"/>
  <c r="AB140" i="3" s="1"/>
  <c r="AC140" i="3" s="1"/>
  <c r="AB141" i="3" a="1"/>
  <c r="AB141" i="3" s="1"/>
  <c r="AC141" i="3" s="1"/>
  <c r="AB142" i="3" a="1"/>
  <c r="AB142" i="3" s="1"/>
  <c r="AC142" i="3" s="1"/>
  <c r="AB143" i="3" a="1"/>
  <c r="AB143" i="3" s="1"/>
  <c r="AC143" i="3" s="1"/>
  <c r="AB144" i="3" a="1"/>
  <c r="AB144" i="3" s="1"/>
  <c r="AC144" i="3" s="1"/>
  <c r="AB145" i="3" a="1"/>
  <c r="AB145" i="3" s="1"/>
  <c r="AC145" i="3" s="1"/>
  <c r="AB146" i="3" a="1"/>
  <c r="AB146" i="3" s="1"/>
  <c r="AC146" i="3" s="1"/>
  <c r="AB147" i="3" a="1"/>
  <c r="AB147" i="3" s="1"/>
  <c r="AC147" i="3" s="1"/>
  <c r="AB148" i="3" a="1"/>
  <c r="AB148" i="3" s="1"/>
  <c r="AC148" i="3" s="1"/>
  <c r="AB149" i="3" a="1"/>
  <c r="AB149" i="3" s="1"/>
  <c r="AC149" i="3" s="1"/>
  <c r="AB150" i="3" a="1"/>
  <c r="AB150" i="3" s="1"/>
  <c r="AC150" i="3" s="1"/>
  <c r="AB151" i="3" a="1"/>
  <c r="AB151" i="3" s="1"/>
  <c r="AC151" i="3" s="1"/>
  <c r="AB152" i="3" a="1"/>
  <c r="AB152" i="3" s="1"/>
  <c r="AC152" i="3" s="1"/>
  <c r="AB153" i="3" a="1"/>
  <c r="AB153" i="3" s="1"/>
  <c r="AC153" i="3" s="1"/>
  <c r="AB154" i="3" a="1"/>
  <c r="AB154" i="3" s="1"/>
  <c r="AC154" i="3" s="1"/>
  <c r="AB155" i="3" a="1"/>
  <c r="AB155" i="3" s="1"/>
  <c r="AC155" i="3" s="1"/>
  <c r="AB156" i="3" a="1"/>
  <c r="AB156" i="3" s="1"/>
  <c r="AC156" i="3" s="1"/>
  <c r="AB157" i="3" a="1"/>
  <c r="AB157" i="3" s="1"/>
  <c r="AC157" i="3" s="1"/>
  <c r="AB158" i="3" a="1"/>
  <c r="AB158" i="3" s="1"/>
  <c r="AC158" i="3" s="1"/>
  <c r="AB159" i="3" a="1"/>
  <c r="AB159" i="3" s="1"/>
  <c r="AC159" i="3" s="1"/>
  <c r="AB160" i="3" a="1"/>
  <c r="AB160" i="3" s="1"/>
  <c r="AC160" i="3" s="1"/>
  <c r="AB161" i="3" a="1"/>
  <c r="AB161" i="3" s="1"/>
  <c r="AC161" i="3" s="1"/>
  <c r="AB162" i="3" a="1"/>
  <c r="AB162" i="3" s="1"/>
  <c r="AC162" i="3" s="1"/>
  <c r="AB163" i="3" a="1"/>
  <c r="AB163" i="3" s="1"/>
  <c r="AC163" i="3" s="1"/>
  <c r="AB164" i="3" a="1"/>
  <c r="AB164" i="3" s="1"/>
  <c r="AC164" i="3" s="1"/>
  <c r="AB165" i="3" a="1"/>
  <c r="AB165" i="3" s="1"/>
  <c r="AC165" i="3" s="1"/>
  <c r="AB166" i="3" a="1"/>
  <c r="AB166" i="3" s="1"/>
  <c r="AC166" i="3" s="1"/>
  <c r="AB167" i="3" a="1"/>
  <c r="AB167" i="3" s="1"/>
  <c r="AC167" i="3" s="1"/>
  <c r="AB168" i="3" a="1"/>
  <c r="AB168" i="3" s="1"/>
  <c r="AC168" i="3" s="1"/>
  <c r="AB169" i="3" a="1"/>
  <c r="AB169" i="3" s="1"/>
  <c r="AC169" i="3" s="1"/>
  <c r="AB170" i="3" a="1"/>
  <c r="AB170" i="3" s="1"/>
  <c r="AC170" i="3" s="1"/>
  <c r="AB171" i="3" a="1"/>
  <c r="AB171" i="3" s="1"/>
  <c r="AC171" i="3" s="1"/>
  <c r="AB172" i="3" a="1"/>
  <c r="AB172" i="3" s="1"/>
  <c r="AC172" i="3" s="1"/>
  <c r="AB173" i="3" a="1"/>
  <c r="AB173" i="3" s="1"/>
  <c r="AC173" i="3" s="1"/>
  <c r="AB174" i="3" a="1"/>
  <c r="AB174" i="3" s="1"/>
  <c r="AC174" i="3" s="1"/>
  <c r="AB175" i="3" a="1"/>
  <c r="AB175" i="3" s="1"/>
  <c r="AC175" i="3" s="1"/>
  <c r="AB176" i="3" a="1"/>
  <c r="AB176" i="3" s="1"/>
  <c r="AC176" i="3" s="1"/>
  <c r="AB177" i="3" a="1"/>
  <c r="AB177" i="3" s="1"/>
  <c r="AC177" i="3" s="1"/>
  <c r="AB178" i="3" a="1"/>
  <c r="AB178" i="3" s="1"/>
  <c r="AC178" i="3" s="1"/>
  <c r="AB179" i="3" a="1"/>
  <c r="AB179" i="3" s="1"/>
  <c r="AC179" i="3" s="1"/>
  <c r="AB180" i="3" a="1"/>
  <c r="AB180" i="3" s="1"/>
  <c r="AC180" i="3" s="1"/>
  <c r="AB181" i="3" a="1"/>
  <c r="AB181" i="3" s="1"/>
  <c r="AC181" i="3" s="1"/>
  <c r="AB182" i="3" a="1"/>
  <c r="AB182" i="3" s="1"/>
  <c r="AC182" i="3" s="1"/>
  <c r="AB183" i="3" a="1"/>
  <c r="AB183" i="3" s="1"/>
  <c r="AC183" i="3" s="1"/>
  <c r="AB184" i="3" a="1"/>
  <c r="AB184" i="3" s="1"/>
  <c r="AC184" i="3" s="1"/>
  <c r="AB185" i="3" a="1"/>
  <c r="AB185" i="3" s="1"/>
  <c r="AC185" i="3" s="1"/>
  <c r="AB186" i="3" a="1"/>
  <c r="AB186" i="3" s="1"/>
  <c r="AC186" i="3" s="1"/>
  <c r="AB187" i="3" a="1"/>
  <c r="AB187" i="3" s="1"/>
  <c r="AC187" i="3" s="1"/>
  <c r="AB188" i="3" a="1"/>
  <c r="AB188" i="3" s="1"/>
  <c r="AC188" i="3" s="1"/>
  <c r="AB189" i="3" a="1"/>
  <c r="AB189" i="3" s="1"/>
  <c r="AC189" i="3" s="1"/>
  <c r="AB190" i="3" a="1"/>
  <c r="AB190" i="3" s="1"/>
  <c r="AC190" i="3" s="1"/>
  <c r="AB191" i="3" a="1"/>
  <c r="AB191" i="3" s="1"/>
  <c r="AC191" i="3" s="1"/>
  <c r="AB192" i="3" a="1"/>
  <c r="AB192" i="3" s="1"/>
  <c r="AC192" i="3" s="1"/>
  <c r="AB193" i="3" a="1"/>
  <c r="AB193" i="3" s="1"/>
  <c r="AC193" i="3" s="1"/>
  <c r="AB194" i="3" a="1"/>
  <c r="AB194" i="3" s="1"/>
  <c r="AC194" i="3" s="1"/>
  <c r="AB195" i="3" a="1"/>
  <c r="AB195" i="3" s="1"/>
  <c r="AC195" i="3" s="1"/>
  <c r="AB196" i="3" a="1"/>
  <c r="AB196" i="3" s="1"/>
  <c r="AC196" i="3" s="1"/>
  <c r="AB197" i="3" a="1"/>
  <c r="AB197" i="3" s="1"/>
  <c r="AC197" i="3" s="1"/>
  <c r="AB198" i="3" a="1"/>
  <c r="AB198" i="3" s="1"/>
  <c r="AC198" i="3" s="1"/>
  <c r="AB199" i="3" a="1"/>
  <c r="AB199" i="3" s="1"/>
  <c r="AC199" i="3" s="1"/>
  <c r="AB200" i="3" a="1"/>
  <c r="AB200" i="3" s="1"/>
  <c r="AC200" i="3" s="1"/>
  <c r="AB201" i="3" a="1"/>
  <c r="AB201" i="3" s="1"/>
  <c r="AC201" i="3" s="1"/>
  <c r="AB202" i="3" a="1"/>
  <c r="AB202" i="3" s="1"/>
  <c r="AC202" i="3" s="1"/>
  <c r="AB203" i="3" a="1"/>
  <c r="AB203" i="3" s="1"/>
  <c r="AC203" i="3" s="1"/>
  <c r="AB204" i="3" a="1"/>
  <c r="AB204" i="3" s="1"/>
  <c r="AC204" i="3" s="1"/>
  <c r="AB205" i="3" a="1"/>
  <c r="AB205" i="3" s="1"/>
  <c r="AC205" i="3" s="1"/>
  <c r="AB206" i="3" a="1"/>
  <c r="AB206" i="3" s="1"/>
  <c r="AC206" i="3" s="1"/>
  <c r="AB207" i="3" a="1"/>
  <c r="AB207" i="3" s="1"/>
  <c r="AC207" i="3" s="1"/>
  <c r="AB208" i="3" a="1"/>
  <c r="AB208" i="3" s="1"/>
  <c r="AC208" i="3" s="1"/>
  <c r="AB209" i="3" a="1"/>
  <c r="AB209" i="3" s="1"/>
  <c r="AC209" i="3" s="1"/>
  <c r="AB210" i="3" a="1"/>
  <c r="AB210" i="3" s="1"/>
  <c r="AC210" i="3" s="1"/>
  <c r="AB211" i="3" a="1"/>
  <c r="AB211" i="3" s="1"/>
  <c r="AC211" i="3" s="1"/>
  <c r="AB212" i="3" a="1"/>
  <c r="AB212" i="3" s="1"/>
  <c r="AC212" i="3" s="1"/>
  <c r="AB213" i="3" a="1"/>
  <c r="AB213" i="3" s="1"/>
  <c r="AC213" i="3" s="1"/>
  <c r="AB214" i="3" a="1"/>
  <c r="AB214" i="3" s="1"/>
  <c r="AC214" i="3" s="1"/>
  <c r="AB215" i="3" a="1"/>
  <c r="AB215" i="3" s="1"/>
  <c r="AC215" i="3" s="1"/>
  <c r="AB216" i="3" a="1"/>
  <c r="AB216" i="3" s="1"/>
  <c r="AC216" i="3" s="1"/>
  <c r="AB217" i="3" a="1"/>
  <c r="AB217" i="3" s="1"/>
  <c r="AC217" i="3" s="1"/>
  <c r="AB218" i="3" a="1"/>
  <c r="AB218" i="3" s="1"/>
  <c r="AC218" i="3" s="1"/>
  <c r="AB219" i="3" a="1"/>
  <c r="AB219" i="3" s="1"/>
  <c r="AC219" i="3" s="1"/>
  <c r="AB220" i="3" a="1"/>
  <c r="AB220" i="3" s="1"/>
  <c r="AC220" i="3" s="1"/>
  <c r="AB221" i="3" a="1"/>
  <c r="AB221" i="3" s="1"/>
  <c r="AC221" i="3" s="1"/>
  <c r="AB222" i="3" a="1"/>
  <c r="AB222" i="3" s="1"/>
  <c r="AC222" i="3" s="1"/>
  <c r="AB223" i="3" a="1"/>
  <c r="AB223" i="3" s="1"/>
  <c r="AC223" i="3" s="1"/>
  <c r="AB224" i="3" a="1"/>
  <c r="AB224" i="3" s="1"/>
  <c r="AC224" i="3" s="1"/>
  <c r="AB225" i="3" a="1"/>
  <c r="AB225" i="3" s="1"/>
  <c r="AC225" i="3" s="1"/>
  <c r="AB226" i="3" a="1"/>
  <c r="AB226" i="3" s="1"/>
  <c r="AC226" i="3" s="1"/>
  <c r="AB227" i="3" a="1"/>
  <c r="AB227" i="3" s="1"/>
  <c r="AC227" i="3" s="1"/>
  <c r="AB228" i="3" a="1"/>
  <c r="AB228" i="3" s="1"/>
  <c r="AC228" i="3" s="1"/>
  <c r="AB229" i="3" a="1"/>
  <c r="AB229" i="3" s="1"/>
  <c r="AC229" i="3" s="1"/>
  <c r="AB230" i="3" a="1"/>
  <c r="AB230" i="3" s="1"/>
  <c r="AC230" i="3" s="1"/>
  <c r="AB231" i="3" a="1"/>
  <c r="AB231" i="3" s="1"/>
  <c r="AC231" i="3" s="1"/>
  <c r="AB232" i="3" a="1"/>
  <c r="AB232" i="3" s="1"/>
  <c r="AC232" i="3" s="1"/>
  <c r="AB233" i="3" a="1"/>
  <c r="AB233" i="3" s="1"/>
  <c r="AC233" i="3" s="1"/>
  <c r="AB234" i="3" a="1"/>
  <c r="AB234" i="3" s="1"/>
  <c r="AC234" i="3" s="1"/>
  <c r="AB235" i="3" a="1"/>
  <c r="AB235" i="3" s="1"/>
  <c r="AC235" i="3" s="1"/>
  <c r="AB236" i="3" a="1"/>
  <c r="AB236" i="3" s="1"/>
  <c r="AC236" i="3" s="1"/>
  <c r="AB237" i="3" a="1"/>
  <c r="AB237" i="3" s="1"/>
  <c r="AC237" i="3" s="1"/>
  <c r="AB238" i="3" a="1"/>
  <c r="AB238" i="3" s="1"/>
  <c r="AC238" i="3" s="1"/>
  <c r="AB239" i="3" a="1"/>
  <c r="AB239" i="3" s="1"/>
  <c r="AC239" i="3" s="1"/>
  <c r="AB240" i="3" a="1"/>
  <c r="AB240" i="3" s="1"/>
  <c r="AC240" i="3" s="1"/>
  <c r="AB241" i="3" a="1"/>
  <c r="AB241" i="3" s="1"/>
  <c r="AC241" i="3" s="1"/>
  <c r="AB242" i="3" a="1"/>
  <c r="AB242" i="3" s="1"/>
  <c r="AC242" i="3" s="1"/>
  <c r="AB243" i="3" a="1"/>
  <c r="AB243" i="3" s="1"/>
  <c r="AC243" i="3" s="1"/>
  <c r="AB244" i="3" a="1"/>
  <c r="AB244" i="3" s="1"/>
  <c r="AC244" i="3" s="1"/>
  <c r="AB245" i="3" a="1"/>
  <c r="AB245" i="3" s="1"/>
  <c r="AC245" i="3" s="1"/>
  <c r="AB246" i="3" a="1"/>
  <c r="AB246" i="3" s="1"/>
  <c r="AC246" i="3" s="1"/>
  <c r="AB247" i="3" a="1"/>
  <c r="AB247" i="3" s="1"/>
  <c r="AC247" i="3" s="1"/>
  <c r="AB248" i="3" a="1"/>
  <c r="AB248" i="3" s="1"/>
  <c r="AC248" i="3" s="1"/>
  <c r="AB249" i="3" a="1"/>
  <c r="AB249" i="3" s="1"/>
  <c r="AC249" i="3" s="1"/>
  <c r="AB250" i="3" a="1"/>
  <c r="AB250" i="3" s="1"/>
  <c r="AC250" i="3" s="1"/>
  <c r="AB251" i="3" a="1"/>
  <c r="AB251" i="3" s="1"/>
  <c r="AC251" i="3" s="1"/>
  <c r="AB252" i="3" a="1"/>
  <c r="AB252" i="3" s="1"/>
  <c r="AC252" i="3" s="1"/>
  <c r="AB253" i="3" a="1"/>
  <c r="AB253" i="3" s="1"/>
  <c r="AC253" i="3" s="1"/>
  <c r="AB254" i="3" a="1"/>
  <c r="AB254" i="3" s="1"/>
  <c r="AC254" i="3" s="1"/>
  <c r="AB255" i="3" a="1"/>
  <c r="AB255" i="3" s="1"/>
  <c r="AC255" i="3" s="1"/>
  <c r="AB256" i="3" a="1"/>
  <c r="AB256" i="3" s="1"/>
  <c r="AC256" i="3" s="1"/>
  <c r="AB257" i="3" a="1"/>
  <c r="AB257" i="3" s="1"/>
  <c r="AC257" i="3" s="1"/>
  <c r="AB258" i="3" a="1"/>
  <c r="AB258" i="3" s="1"/>
  <c r="AC258" i="3" s="1"/>
  <c r="AB259" i="3" a="1"/>
  <c r="AB259" i="3" s="1"/>
  <c r="AC259" i="3" s="1"/>
  <c r="AB260" i="3" a="1"/>
  <c r="AB260" i="3" s="1"/>
  <c r="AC260" i="3" s="1"/>
  <c r="AB261" i="3" a="1"/>
  <c r="AB261" i="3" s="1"/>
  <c r="AC261" i="3" s="1"/>
  <c r="AB262" i="3" a="1"/>
  <c r="AB262" i="3" s="1"/>
  <c r="AC262" i="3" s="1"/>
  <c r="AB263" i="3" a="1"/>
  <c r="AB263" i="3" s="1"/>
  <c r="AC263" i="3" s="1"/>
  <c r="AB264" i="3" a="1"/>
  <c r="AB264" i="3" s="1"/>
  <c r="AC264" i="3" s="1"/>
  <c r="AB265" i="3" a="1"/>
  <c r="AB265" i="3" s="1"/>
  <c r="AC265" i="3" s="1"/>
  <c r="AB266" i="3" a="1"/>
  <c r="AB266" i="3" s="1"/>
  <c r="AC266" i="3" s="1"/>
  <c r="AB267" i="3" a="1"/>
  <c r="AB267" i="3" s="1"/>
  <c r="AC267" i="3" s="1"/>
  <c r="AB268" i="3" a="1"/>
  <c r="AB268" i="3" s="1"/>
  <c r="AC268" i="3" s="1"/>
  <c r="AB269" i="3" a="1"/>
  <c r="AB269" i="3" s="1"/>
  <c r="AC269" i="3" s="1"/>
  <c r="AB270" i="3" a="1"/>
  <c r="AB270" i="3" s="1"/>
  <c r="AC270" i="3" s="1"/>
  <c r="AB271" i="3" a="1"/>
  <c r="AB271" i="3" s="1"/>
  <c r="AC271" i="3" s="1"/>
  <c r="AB272" i="3" a="1"/>
  <c r="AB272" i="3" s="1"/>
  <c r="AC272" i="3" s="1"/>
  <c r="AB273" i="3" a="1"/>
  <c r="AB273" i="3" s="1"/>
  <c r="AC273" i="3" s="1"/>
  <c r="AB274" i="3" a="1"/>
  <c r="AB274" i="3" s="1"/>
  <c r="AC274" i="3" s="1"/>
  <c r="AB275" i="3" a="1"/>
  <c r="AB275" i="3" s="1"/>
  <c r="AC275" i="3" s="1"/>
  <c r="AB276" i="3" a="1"/>
  <c r="AB276" i="3" s="1"/>
  <c r="AC276" i="3" s="1"/>
  <c r="AB277" i="3" a="1"/>
  <c r="AB277" i="3" s="1"/>
  <c r="AC277" i="3" s="1"/>
  <c r="AB278" i="3" a="1"/>
  <c r="AB278" i="3" s="1"/>
  <c r="AC278" i="3" s="1"/>
  <c r="AB279" i="3" a="1"/>
  <c r="AB279" i="3" s="1"/>
  <c r="AC279" i="3" s="1"/>
  <c r="AB280" i="3" a="1"/>
  <c r="AB280" i="3" s="1"/>
  <c r="AC280" i="3" s="1"/>
  <c r="AB281" i="3" a="1"/>
  <c r="AB281" i="3" s="1"/>
  <c r="AC281" i="3" s="1"/>
  <c r="AB282" i="3" a="1"/>
  <c r="AB282" i="3" s="1"/>
  <c r="AC282" i="3" s="1"/>
  <c r="AB283" i="3" a="1"/>
  <c r="AB283" i="3" s="1"/>
  <c r="AC283" i="3" s="1"/>
  <c r="AB284" i="3" a="1"/>
  <c r="AB284" i="3" s="1"/>
  <c r="AC284" i="3" s="1"/>
  <c r="AB285" i="3" a="1"/>
  <c r="AB285" i="3" s="1"/>
  <c r="AC285" i="3" s="1"/>
  <c r="AB286" i="3" a="1"/>
  <c r="AB286" i="3" s="1"/>
  <c r="AC286" i="3" s="1"/>
  <c r="AB287" i="3" a="1"/>
  <c r="AB287" i="3" s="1"/>
  <c r="AC287" i="3" s="1"/>
  <c r="AB288" i="3" a="1"/>
  <c r="AB288" i="3" s="1"/>
  <c r="AC288" i="3" s="1"/>
  <c r="AB289" i="3" a="1"/>
  <c r="AB289" i="3" s="1"/>
  <c r="AC289" i="3" s="1"/>
  <c r="AB290" i="3" a="1"/>
  <c r="AB290" i="3" s="1"/>
  <c r="AC290" i="3" s="1"/>
  <c r="AB291" i="3" a="1"/>
  <c r="AB291" i="3" s="1"/>
  <c r="AC291" i="3" s="1"/>
  <c r="AB292" i="3" a="1"/>
  <c r="AB292" i="3" s="1"/>
  <c r="AC292" i="3" s="1"/>
  <c r="AB293" i="3" a="1"/>
  <c r="AB293" i="3" s="1"/>
  <c r="AC293" i="3" s="1"/>
  <c r="AB294" i="3" a="1"/>
  <c r="AB294" i="3" s="1"/>
  <c r="AC294" i="3" s="1"/>
  <c r="AB295" i="3" a="1"/>
  <c r="AB295" i="3" s="1"/>
  <c r="AC295" i="3" s="1"/>
  <c r="AB296" i="3" a="1"/>
  <c r="AB296" i="3" s="1"/>
  <c r="AC296" i="3" s="1"/>
  <c r="AB297" i="3" a="1"/>
  <c r="AB297" i="3" s="1"/>
  <c r="AC297" i="3" s="1"/>
  <c r="AB298" i="3" a="1"/>
  <c r="AB298" i="3" s="1"/>
  <c r="AC298" i="3" s="1"/>
  <c r="AB299" i="3" a="1"/>
  <c r="AB299" i="3" s="1"/>
  <c r="AC299" i="3" s="1"/>
  <c r="AB300" i="3" a="1"/>
  <c r="AB300" i="3" s="1"/>
  <c r="AC300" i="3" s="1"/>
  <c r="AB301" i="3" a="1"/>
  <c r="AB301" i="3" s="1"/>
  <c r="AC301" i="3" s="1"/>
  <c r="AB302" i="3" a="1"/>
  <c r="AB302" i="3" s="1"/>
  <c r="AC302" i="3" s="1"/>
  <c r="AB303" i="3" a="1"/>
  <c r="AB303" i="3" s="1"/>
  <c r="AC303" i="3" s="1"/>
  <c r="AB304" i="3" a="1"/>
  <c r="AB304" i="3" s="1"/>
  <c r="AC304" i="3" s="1"/>
  <c r="AB305" i="3" a="1"/>
  <c r="AB305" i="3" s="1"/>
  <c r="AC305" i="3" s="1"/>
  <c r="AB306" i="3" a="1"/>
  <c r="AB306" i="3" s="1"/>
  <c r="AC306" i="3" s="1"/>
  <c r="AB307" i="3" a="1"/>
  <c r="AB307" i="3" s="1"/>
  <c r="AC307" i="3" s="1"/>
  <c r="AB308" i="3" a="1"/>
  <c r="AB308" i="3" s="1"/>
  <c r="AC308" i="3" s="1"/>
  <c r="AB309" i="3" a="1"/>
  <c r="AB309" i="3" s="1"/>
  <c r="AC309" i="3" s="1"/>
  <c r="AB310" i="3" a="1"/>
  <c r="AB310" i="3" s="1"/>
  <c r="AC310" i="3" s="1"/>
  <c r="AB311" i="3" a="1"/>
  <c r="AB311" i="3" s="1"/>
  <c r="AC311" i="3" s="1"/>
  <c r="AB312" i="3" a="1"/>
  <c r="AB312" i="3" s="1"/>
  <c r="AC312" i="3" s="1"/>
  <c r="AB313" i="3" a="1"/>
  <c r="AB313" i="3" s="1"/>
  <c r="AC313" i="3" s="1"/>
  <c r="AB314" i="3" a="1"/>
  <c r="AB314" i="3" s="1"/>
  <c r="AC314" i="3" s="1"/>
  <c r="AB315" i="3" a="1"/>
  <c r="AB315" i="3" s="1"/>
  <c r="AC315" i="3" s="1"/>
  <c r="AB316" i="3" a="1"/>
  <c r="AB316" i="3" s="1"/>
  <c r="AC316" i="3" s="1"/>
  <c r="AB317" i="3" a="1"/>
  <c r="AB317" i="3" s="1"/>
  <c r="AC317" i="3" s="1"/>
  <c r="AB318" i="3" a="1"/>
  <c r="AB318" i="3" s="1"/>
  <c r="AC318" i="3" s="1"/>
  <c r="AB319" i="3" a="1"/>
  <c r="AB319" i="3" s="1"/>
  <c r="AC319" i="3" s="1"/>
  <c r="AB320" i="3" a="1"/>
  <c r="AB320" i="3" s="1"/>
  <c r="AC320" i="3" s="1"/>
  <c r="AB321" i="3" a="1"/>
  <c r="AB321" i="3" s="1"/>
  <c r="AC321" i="3" s="1"/>
  <c r="AB322" i="3" a="1"/>
  <c r="AB322" i="3" s="1"/>
  <c r="AC322" i="3" s="1"/>
  <c r="AB323" i="3" a="1"/>
  <c r="AB323" i="3" s="1"/>
  <c r="AC323" i="3" s="1"/>
  <c r="AB324" i="3" a="1"/>
  <c r="AB324" i="3" s="1"/>
  <c r="AC324" i="3" s="1"/>
  <c r="AB325" i="3" a="1"/>
  <c r="AB325" i="3" s="1"/>
  <c r="AC325" i="3" s="1"/>
  <c r="AB326" i="3" a="1"/>
  <c r="AB326" i="3" s="1"/>
  <c r="AC326" i="3" s="1"/>
  <c r="AB327" i="3" a="1"/>
  <c r="AB327" i="3" s="1"/>
  <c r="AC327" i="3" s="1"/>
  <c r="AB328" i="3" a="1"/>
  <c r="AB328" i="3" s="1"/>
  <c r="AC328" i="3" s="1"/>
  <c r="AB329" i="3" a="1"/>
  <c r="AB329" i="3" s="1"/>
  <c r="AC329" i="3" s="1"/>
  <c r="AB330" i="3" a="1"/>
  <c r="AB330" i="3" s="1"/>
  <c r="AC330" i="3" s="1"/>
  <c r="AB331" i="3" a="1"/>
  <c r="AB331" i="3" s="1"/>
  <c r="AC331" i="3" s="1"/>
  <c r="AB332" i="3" a="1"/>
  <c r="AB332" i="3" s="1"/>
  <c r="AC332" i="3" s="1"/>
  <c r="AB333" i="3" a="1"/>
  <c r="AB333" i="3" s="1"/>
  <c r="AC333" i="3" s="1"/>
  <c r="AB334" i="3" a="1"/>
  <c r="AB334" i="3" s="1"/>
  <c r="AC334" i="3" s="1"/>
  <c r="AB335" i="3" a="1"/>
  <c r="AB335" i="3" s="1"/>
  <c r="AC335" i="3" s="1"/>
  <c r="AB336" i="3" a="1"/>
  <c r="AB336" i="3" s="1"/>
  <c r="AC336" i="3" s="1"/>
  <c r="AB337" i="3" a="1"/>
  <c r="AB337" i="3" s="1"/>
  <c r="AC337" i="3" s="1"/>
  <c r="AB338" i="3" a="1"/>
  <c r="AB338" i="3" s="1"/>
  <c r="AC338" i="3" s="1"/>
  <c r="AB339" i="3" a="1"/>
  <c r="AB339" i="3" s="1"/>
  <c r="AC339" i="3" s="1"/>
  <c r="AB340" i="3" a="1"/>
  <c r="AB340" i="3" s="1"/>
  <c r="AC340" i="3" s="1"/>
  <c r="AB341" i="3" a="1"/>
  <c r="AB341" i="3" s="1"/>
  <c r="AC341" i="3" s="1"/>
  <c r="AB342" i="3" a="1"/>
  <c r="AB342" i="3" s="1"/>
  <c r="AC342" i="3" s="1"/>
  <c r="AB343" i="3" a="1"/>
  <c r="AB343" i="3" s="1"/>
  <c r="AC343" i="3" s="1"/>
  <c r="AB344" i="3" a="1"/>
  <c r="AB344" i="3" s="1"/>
  <c r="AC344" i="3" s="1"/>
  <c r="AB345" i="3" a="1"/>
  <c r="AB345" i="3" s="1"/>
  <c r="AC345" i="3" s="1"/>
  <c r="AB346" i="3" a="1"/>
  <c r="AB346" i="3" s="1"/>
  <c r="AC346" i="3" s="1"/>
  <c r="AB347" i="3" a="1"/>
  <c r="AB347" i="3" s="1"/>
  <c r="AC347" i="3" s="1"/>
  <c r="AB348" i="3" a="1"/>
  <c r="AB348" i="3" s="1"/>
  <c r="AC348" i="3" s="1"/>
  <c r="AB349" i="3" a="1"/>
  <c r="AB349" i="3" s="1"/>
  <c r="AC349" i="3" s="1"/>
  <c r="AB350" i="3" a="1"/>
  <c r="AB350" i="3" s="1"/>
  <c r="AC350" i="3" s="1"/>
  <c r="AB351" i="3" a="1"/>
  <c r="AB351" i="3" s="1"/>
  <c r="AC351" i="3" s="1"/>
  <c r="AB352" i="3" a="1"/>
  <c r="AB352" i="3" s="1"/>
  <c r="AC352" i="3" s="1"/>
  <c r="AB353" i="3" a="1"/>
  <c r="AB353" i="3" s="1"/>
  <c r="AC353" i="3" s="1"/>
  <c r="AB354" i="3" a="1"/>
  <c r="AB354" i="3" s="1"/>
  <c r="AC354" i="3" s="1"/>
  <c r="AB355" i="3" a="1"/>
  <c r="AB355" i="3" s="1"/>
  <c r="AC355" i="3" s="1"/>
  <c r="AB356" i="3" a="1"/>
  <c r="AB356" i="3" s="1"/>
  <c r="AC356" i="3" s="1"/>
  <c r="AB357" i="3" a="1"/>
  <c r="AB357" i="3" s="1"/>
  <c r="AC357" i="3" s="1"/>
  <c r="AB358" i="3" a="1"/>
  <c r="AB358" i="3" s="1"/>
  <c r="AC358" i="3" s="1"/>
  <c r="AB359" i="3" a="1"/>
  <c r="AB359" i="3" s="1"/>
  <c r="AC359" i="3" s="1"/>
  <c r="AB360" i="3" a="1"/>
  <c r="AB360" i="3" s="1"/>
  <c r="AC360" i="3" s="1"/>
  <c r="AB361" i="3" a="1"/>
  <c r="AB361" i="3" s="1"/>
  <c r="AC361" i="3" s="1"/>
  <c r="AB362" i="3" a="1"/>
  <c r="AB362" i="3" s="1"/>
  <c r="AC362" i="3" s="1"/>
  <c r="AB363" i="3" a="1"/>
  <c r="AB363" i="3" s="1"/>
  <c r="AC363" i="3" s="1"/>
  <c r="AB364" i="3" a="1"/>
  <c r="AB364" i="3" s="1"/>
  <c r="AC364" i="3" s="1"/>
  <c r="AB365" i="3" a="1"/>
  <c r="AB365" i="3" s="1"/>
  <c r="AC365" i="3" s="1"/>
  <c r="AB366" i="3" a="1"/>
  <c r="AB366" i="3" s="1"/>
  <c r="AC366" i="3" s="1"/>
  <c r="AB367" i="3" a="1"/>
  <c r="AB367" i="3" s="1"/>
  <c r="AC367" i="3" s="1"/>
  <c r="AB368" i="3" a="1"/>
  <c r="AB368" i="3" s="1"/>
  <c r="AC368" i="3" s="1"/>
  <c r="AB369" i="3" a="1"/>
  <c r="AB369" i="3" s="1"/>
  <c r="AC369" i="3" s="1"/>
  <c r="AB370" i="3" a="1"/>
  <c r="AB370" i="3" s="1"/>
  <c r="AC370" i="3" s="1"/>
  <c r="AB371" i="3" a="1"/>
  <c r="AB371" i="3" s="1"/>
  <c r="AC371" i="3" s="1"/>
  <c r="AB372" i="3" a="1"/>
  <c r="AB372" i="3" s="1"/>
  <c r="AC372" i="3" s="1"/>
  <c r="AB373" i="3" a="1"/>
  <c r="AB373" i="3" s="1"/>
  <c r="AC373" i="3" s="1"/>
  <c r="AB374" i="3" a="1"/>
  <c r="AB374" i="3" s="1"/>
  <c r="AC374" i="3" s="1"/>
  <c r="AB375" i="3" a="1"/>
  <c r="AB375" i="3" s="1"/>
  <c r="AC375" i="3" s="1"/>
  <c r="AB376" i="3" a="1"/>
  <c r="AB376" i="3" s="1"/>
  <c r="AC376" i="3" s="1"/>
  <c r="AB377" i="3" a="1"/>
  <c r="AB377" i="3" s="1"/>
  <c r="AC377" i="3" s="1"/>
  <c r="AB378" i="3" a="1"/>
  <c r="AB378" i="3" s="1"/>
  <c r="AC378" i="3" s="1"/>
  <c r="AB379" i="3" a="1"/>
  <c r="AB379" i="3" s="1"/>
  <c r="AC379" i="3" s="1"/>
  <c r="AB380" i="3" a="1"/>
  <c r="AB380" i="3" s="1"/>
  <c r="AC380" i="3" s="1"/>
  <c r="AB381" i="3" a="1"/>
  <c r="AB381" i="3" s="1"/>
  <c r="AC381" i="3" s="1"/>
  <c r="AB382" i="3" a="1"/>
  <c r="AB382" i="3" s="1"/>
  <c r="AC382" i="3" s="1"/>
  <c r="AB383" i="3" a="1"/>
  <c r="AB383" i="3" s="1"/>
  <c r="AC383" i="3" s="1"/>
  <c r="AB384" i="3" a="1"/>
  <c r="AB384" i="3" s="1"/>
  <c r="AC384" i="3" s="1"/>
  <c r="AB385" i="3" a="1"/>
  <c r="AB385" i="3" s="1"/>
  <c r="AC385" i="3" s="1"/>
  <c r="AB386" i="3" a="1"/>
  <c r="AB386" i="3" s="1"/>
  <c r="AC386" i="3" s="1"/>
  <c r="AB387" i="3" a="1"/>
  <c r="AB387" i="3" s="1"/>
  <c r="AC387" i="3" s="1"/>
  <c r="AB388" i="3" a="1"/>
  <c r="AB388" i="3" s="1"/>
  <c r="AC388" i="3" s="1"/>
  <c r="AB389" i="3" a="1"/>
  <c r="AB389" i="3" s="1"/>
  <c r="AC389" i="3" s="1"/>
  <c r="AB390" i="3" a="1"/>
  <c r="AB390" i="3" s="1"/>
  <c r="AC390" i="3" s="1"/>
  <c r="AB391" i="3" a="1"/>
  <c r="AB391" i="3" s="1"/>
  <c r="AC391" i="3" s="1"/>
  <c r="AB392" i="3" a="1"/>
  <c r="AB392" i="3" s="1"/>
  <c r="AC392" i="3" s="1"/>
  <c r="AB393" i="3" a="1"/>
  <c r="AB393" i="3" s="1"/>
  <c r="AC393" i="3" s="1"/>
  <c r="AB394" i="3" a="1"/>
  <c r="AB394" i="3" s="1"/>
  <c r="AC394" i="3" s="1"/>
  <c r="AB395" i="3" a="1"/>
  <c r="AB395" i="3" s="1"/>
  <c r="AC395" i="3" s="1"/>
  <c r="AB396" i="3" a="1"/>
  <c r="AB396" i="3" s="1"/>
  <c r="AC396" i="3" s="1"/>
  <c r="AB397" i="3" a="1"/>
  <c r="AB397" i="3" s="1"/>
  <c r="AC397" i="3" s="1"/>
  <c r="AB398" i="3" a="1"/>
  <c r="AB398" i="3" s="1"/>
  <c r="AC398" i="3" s="1"/>
  <c r="AB399" i="3" a="1"/>
  <c r="AB399" i="3" s="1"/>
  <c r="AC399" i="3" s="1"/>
  <c r="AB400" i="3" a="1"/>
  <c r="AB400" i="3" s="1"/>
  <c r="AC400" i="3" s="1"/>
  <c r="AB401" i="3" a="1"/>
  <c r="AB401" i="3" s="1"/>
  <c r="AC401" i="3" s="1"/>
  <c r="D333" i="12" s="1"/>
  <c r="AB402" i="3" a="1"/>
  <c r="AB402" i="3" s="1"/>
  <c r="AC402" i="3" s="1"/>
  <c r="AB403" i="3" a="1"/>
  <c r="AB403" i="3" s="1"/>
  <c r="AC403" i="3" s="1"/>
  <c r="AB404" i="3" a="1"/>
  <c r="AB404" i="3" s="1"/>
  <c r="AC404" i="3" s="1"/>
  <c r="AB405" i="3" a="1"/>
  <c r="AB405" i="3" s="1"/>
  <c r="AC405" i="3" s="1"/>
  <c r="AB406" i="3" a="1"/>
  <c r="AB406" i="3" s="1"/>
  <c r="AC406" i="3" s="1"/>
  <c r="AB407" i="3" a="1"/>
  <c r="AB407" i="3" s="1"/>
  <c r="AC407" i="3" s="1"/>
  <c r="AB408" i="3" a="1"/>
  <c r="AB408" i="3" s="1"/>
  <c r="AC408" i="3" s="1"/>
  <c r="AB409" i="3" a="1"/>
  <c r="AB409" i="3" s="1"/>
  <c r="AC409" i="3" s="1"/>
  <c r="AB410" i="3" a="1"/>
  <c r="AB410" i="3" s="1"/>
  <c r="AC410" i="3" s="1"/>
  <c r="AB411" i="3" a="1"/>
  <c r="AB411" i="3" s="1"/>
  <c r="AC411" i="3" s="1"/>
  <c r="AB412" i="3" a="1"/>
  <c r="AB412" i="3" s="1"/>
  <c r="AC412" i="3" s="1"/>
  <c r="AB413" i="3" a="1"/>
  <c r="AB413" i="3" s="1"/>
  <c r="AC413" i="3" s="1"/>
  <c r="AB414" i="3" a="1"/>
  <c r="AB414" i="3" s="1"/>
  <c r="AC414" i="3" s="1"/>
  <c r="AB415" i="3" a="1"/>
  <c r="AB415" i="3" s="1"/>
  <c r="AC415" i="3" s="1"/>
  <c r="AB416" i="3" a="1"/>
  <c r="AB416" i="3" s="1"/>
  <c r="AC416" i="3" s="1"/>
  <c r="AB417" i="3" a="1"/>
  <c r="AB417" i="3" s="1"/>
  <c r="AC417" i="3" s="1"/>
  <c r="AB418" i="3" a="1"/>
  <c r="AB418" i="3" s="1"/>
  <c r="AC418" i="3" s="1"/>
  <c r="AB419" i="3" a="1"/>
  <c r="AB419" i="3" s="1"/>
  <c r="AC419" i="3" s="1"/>
  <c r="AB420" i="3" a="1"/>
  <c r="AB420" i="3" s="1"/>
  <c r="AC420" i="3" s="1"/>
  <c r="AB421" i="3" a="1"/>
  <c r="AB421" i="3" s="1"/>
  <c r="AC421" i="3" s="1"/>
  <c r="AB422" i="3" a="1"/>
  <c r="AB422" i="3" s="1"/>
  <c r="AC422" i="3" s="1"/>
  <c r="AB423" i="3" a="1"/>
  <c r="AB423" i="3" s="1"/>
  <c r="AC423" i="3" s="1"/>
  <c r="AB424" i="3" a="1"/>
  <c r="AB424" i="3" s="1"/>
  <c r="AC424" i="3" s="1"/>
  <c r="AB425" i="3" a="1"/>
  <c r="AB425" i="3" s="1"/>
  <c r="AC425" i="3" s="1"/>
  <c r="AB426" i="3" a="1"/>
  <c r="AB426" i="3" s="1"/>
  <c r="AC426" i="3" s="1"/>
  <c r="AB427" i="3" a="1"/>
  <c r="AB427" i="3" s="1"/>
  <c r="AC427" i="3" s="1"/>
  <c r="AB428" i="3" a="1"/>
  <c r="AB428" i="3" s="1"/>
  <c r="AC428" i="3" s="1"/>
  <c r="AB429" i="3" a="1"/>
  <c r="AB429" i="3" s="1"/>
  <c r="AC429" i="3" s="1"/>
  <c r="AB430" i="3" a="1"/>
  <c r="AB430" i="3" s="1"/>
  <c r="AC430" i="3" s="1"/>
  <c r="AB431" i="3" a="1"/>
  <c r="AB431" i="3" s="1"/>
  <c r="AC431" i="3" s="1"/>
  <c r="AB432" i="3" a="1"/>
  <c r="AB432" i="3" s="1"/>
  <c r="AC432" i="3" s="1"/>
  <c r="AB433" i="3" a="1"/>
  <c r="AB433" i="3" s="1"/>
  <c r="AC433" i="3" s="1"/>
  <c r="AB434" i="3" a="1"/>
  <c r="AB434" i="3" s="1"/>
  <c r="AC434" i="3" s="1"/>
  <c r="AB435" i="3" a="1"/>
  <c r="AB435" i="3" s="1"/>
  <c r="AC435" i="3" s="1"/>
  <c r="AB436" i="3" a="1"/>
  <c r="AB436" i="3" s="1"/>
  <c r="AC436" i="3" s="1"/>
  <c r="AB437" i="3" a="1"/>
  <c r="AB437" i="3" s="1"/>
  <c r="AC437" i="3" s="1"/>
  <c r="AB438" i="3" a="1"/>
  <c r="AB438" i="3" s="1"/>
  <c r="AC438" i="3" s="1"/>
  <c r="AB439" i="3" a="1"/>
  <c r="AB439" i="3" s="1"/>
  <c r="AC439" i="3" s="1"/>
  <c r="AB440" i="3" a="1"/>
  <c r="AB440" i="3" s="1"/>
  <c r="AC440" i="3" s="1"/>
  <c r="AB441" i="3" a="1"/>
  <c r="AB441" i="3" s="1"/>
  <c r="AC441" i="3" s="1"/>
  <c r="AB442" i="3" a="1"/>
  <c r="AB442" i="3" s="1"/>
  <c r="AC442" i="3" s="1"/>
  <c r="AB443" i="3" a="1"/>
  <c r="AB443" i="3" s="1"/>
  <c r="AC443" i="3" s="1"/>
  <c r="AB444" i="3" a="1"/>
  <c r="AB444" i="3" s="1"/>
  <c r="AC444" i="3" s="1"/>
  <c r="AB445" i="3" a="1"/>
  <c r="AB445" i="3" s="1"/>
  <c r="AC445" i="3" s="1"/>
  <c r="AB446" i="3" a="1"/>
  <c r="AB446" i="3" s="1"/>
  <c r="AC446" i="3" s="1"/>
  <c r="AB447" i="3" a="1"/>
  <c r="AB447" i="3" s="1"/>
  <c r="AC447" i="3" s="1"/>
  <c r="AB448" i="3" a="1"/>
  <c r="AB448" i="3" s="1"/>
  <c r="AC448" i="3" s="1"/>
  <c r="AB449" i="3" a="1"/>
  <c r="AB449" i="3" s="1"/>
  <c r="AC449" i="3" s="1"/>
  <c r="AB450" i="3" a="1"/>
  <c r="AB450" i="3" s="1"/>
  <c r="AC450" i="3" s="1"/>
  <c r="AB451" i="3" a="1"/>
  <c r="AB451" i="3" s="1"/>
  <c r="AC451" i="3" s="1"/>
  <c r="AB452" i="3" a="1"/>
  <c r="AB452" i="3" s="1"/>
  <c r="AC452" i="3" s="1"/>
  <c r="AB453" i="3" a="1"/>
  <c r="AB453" i="3" s="1"/>
  <c r="AC453" i="3" s="1"/>
  <c r="AB454" i="3" a="1"/>
  <c r="AB454" i="3" s="1"/>
  <c r="AC454" i="3" s="1"/>
  <c r="AB455" i="3" a="1"/>
  <c r="AB455" i="3" s="1"/>
  <c r="AC455" i="3" s="1"/>
  <c r="AB456" i="3" a="1"/>
  <c r="AB456" i="3" s="1"/>
  <c r="AC456" i="3" s="1"/>
  <c r="AB457" i="3" a="1"/>
  <c r="AB457" i="3" s="1"/>
  <c r="AC457" i="3" s="1"/>
  <c r="AB458" i="3" a="1"/>
  <c r="AB458" i="3" s="1"/>
  <c r="AC458" i="3" s="1"/>
  <c r="AB459" i="3" a="1"/>
  <c r="AB459" i="3" s="1"/>
  <c r="AC459" i="3" s="1"/>
  <c r="AB460" i="3" a="1"/>
  <c r="AB460" i="3" s="1"/>
  <c r="AC460" i="3" s="1"/>
  <c r="AB461" i="3" a="1"/>
  <c r="AB461" i="3" s="1"/>
  <c r="AC461" i="3" s="1"/>
  <c r="AB462" i="3" a="1"/>
  <c r="AB462" i="3" s="1"/>
  <c r="AC462" i="3" s="1"/>
  <c r="AB463" i="3" a="1"/>
  <c r="AB463" i="3" s="1"/>
  <c r="AC463" i="3" s="1"/>
  <c r="AB464" i="3" a="1"/>
  <c r="AB464" i="3" s="1"/>
  <c r="AC464" i="3" s="1"/>
  <c r="AB465" i="3" a="1"/>
  <c r="AB465" i="3" s="1"/>
  <c r="AC465" i="3" s="1"/>
  <c r="AB466" i="3" a="1"/>
  <c r="AB466" i="3" s="1"/>
  <c r="AC466" i="3" s="1"/>
  <c r="AB467" i="3" a="1"/>
  <c r="AB467" i="3" s="1"/>
  <c r="AC467" i="3" s="1"/>
  <c r="AB468" i="3" a="1"/>
  <c r="AB468" i="3" s="1"/>
  <c r="AC468" i="3" s="1"/>
  <c r="AB469" i="3" a="1"/>
  <c r="AB469" i="3" s="1"/>
  <c r="AC469" i="3" s="1"/>
  <c r="AB470" i="3" a="1"/>
  <c r="AB470" i="3" s="1"/>
  <c r="AC470" i="3" s="1"/>
  <c r="AB471" i="3" a="1"/>
  <c r="AB471" i="3" s="1"/>
  <c r="AC471" i="3" s="1"/>
  <c r="AB472" i="3" a="1"/>
  <c r="AB472" i="3" s="1"/>
  <c r="AC472" i="3" s="1"/>
  <c r="AB473" i="3" a="1"/>
  <c r="AB473" i="3" s="1"/>
  <c r="AC473" i="3" s="1"/>
  <c r="AB474" i="3" a="1"/>
  <c r="AB474" i="3" s="1"/>
  <c r="AC474" i="3" s="1"/>
  <c r="AB475" i="3" a="1"/>
  <c r="AB475" i="3" s="1"/>
  <c r="AC475" i="3" s="1"/>
  <c r="AB476" i="3" a="1"/>
  <c r="AB476" i="3" s="1"/>
  <c r="AC476" i="3" s="1"/>
  <c r="AB477" i="3" a="1"/>
  <c r="AB477" i="3" s="1"/>
  <c r="AC477" i="3" s="1"/>
  <c r="AB478" i="3" a="1"/>
  <c r="AB478" i="3" s="1"/>
  <c r="AC478" i="3" s="1"/>
  <c r="AB479" i="3" a="1"/>
  <c r="AB479" i="3" s="1"/>
  <c r="AC479" i="3" s="1"/>
  <c r="AB480" i="3" a="1"/>
  <c r="AB480" i="3" s="1"/>
  <c r="AC480" i="3" s="1"/>
  <c r="AB481" i="3" a="1"/>
  <c r="AB481" i="3" s="1"/>
  <c r="AC481" i="3" s="1"/>
  <c r="AB482" i="3" a="1"/>
  <c r="AB482" i="3" s="1"/>
  <c r="AC482" i="3" s="1"/>
  <c r="AB483" i="3" a="1"/>
  <c r="AB483" i="3" s="1"/>
  <c r="AC483" i="3" s="1"/>
  <c r="AB484" i="3" a="1"/>
  <c r="AB484" i="3" s="1"/>
  <c r="AC484" i="3" s="1"/>
  <c r="AB485" i="3" a="1"/>
  <c r="AB485" i="3" s="1"/>
  <c r="AC485" i="3" s="1"/>
  <c r="AB486" i="3" a="1"/>
  <c r="AB486" i="3" s="1"/>
  <c r="AC486" i="3" s="1"/>
  <c r="AB487" i="3" a="1"/>
  <c r="AB487" i="3" s="1"/>
  <c r="AC487" i="3" s="1"/>
  <c r="AB488" i="3" a="1"/>
  <c r="AB488" i="3" s="1"/>
  <c r="AC488" i="3" s="1"/>
  <c r="AB489" i="3" a="1"/>
  <c r="AB489" i="3" s="1"/>
  <c r="AC489" i="3" s="1"/>
  <c r="AB490" i="3" a="1"/>
  <c r="AB490" i="3" s="1"/>
  <c r="AC490" i="3" s="1"/>
  <c r="AB491" i="3" a="1"/>
  <c r="AB491" i="3" s="1"/>
  <c r="AC491" i="3" s="1"/>
  <c r="AB492" i="3" a="1"/>
  <c r="AB492" i="3" s="1"/>
  <c r="AC492" i="3" s="1"/>
  <c r="AB493" i="3" a="1"/>
  <c r="AB493" i="3" s="1"/>
  <c r="AC493" i="3" s="1"/>
  <c r="AB494" i="3" a="1"/>
  <c r="AB494" i="3" s="1"/>
  <c r="AC494" i="3" s="1"/>
  <c r="AB495" i="3" a="1"/>
  <c r="AB495" i="3" s="1"/>
  <c r="AC495" i="3" s="1"/>
  <c r="AB496" i="3" a="1"/>
  <c r="AB496" i="3" s="1"/>
  <c r="AC496" i="3" s="1"/>
  <c r="AB497" i="3" a="1"/>
  <c r="AB497" i="3" s="1"/>
  <c r="AC497" i="3" s="1"/>
  <c r="AB498" i="3" a="1"/>
  <c r="AB498" i="3" s="1"/>
  <c r="AC498" i="3" s="1"/>
  <c r="AB499" i="3" a="1"/>
  <c r="AB499" i="3" s="1"/>
  <c r="AC499" i="3" s="1"/>
  <c r="AB500" i="3" a="1"/>
  <c r="AB500" i="3" s="1"/>
  <c r="AC500" i="3" s="1"/>
  <c r="AB501" i="3" a="1"/>
  <c r="AB501" i="3" s="1"/>
  <c r="AC501" i="3" s="1"/>
  <c r="AB502" i="3" a="1"/>
  <c r="AB502" i="3" s="1"/>
  <c r="AC502" i="3" s="1"/>
  <c r="AB503" i="3" a="1"/>
  <c r="AB503" i="3" s="1"/>
  <c r="AC503" i="3" s="1"/>
  <c r="AB504" i="3" a="1"/>
  <c r="AB504" i="3" s="1"/>
  <c r="AC504" i="3" s="1"/>
  <c r="AB505" i="3" a="1"/>
  <c r="AB505" i="3" s="1"/>
  <c r="AC505" i="3" s="1"/>
  <c r="AB506" i="3" a="1"/>
  <c r="AB506" i="3" s="1"/>
  <c r="AC506" i="3" s="1"/>
  <c r="AB507" i="3" a="1"/>
  <c r="AB507" i="3" s="1"/>
  <c r="AC507" i="3" s="1"/>
  <c r="AB508" i="3" a="1"/>
  <c r="AB508" i="3" s="1"/>
  <c r="AC508" i="3" s="1"/>
  <c r="AB509" i="3" a="1"/>
  <c r="AB509" i="3" s="1"/>
  <c r="AC509" i="3" s="1"/>
  <c r="AB510" i="3" a="1"/>
  <c r="AB510" i="3" s="1"/>
  <c r="AC510" i="3" s="1"/>
  <c r="AB511" i="3" a="1"/>
  <c r="AB511" i="3" s="1"/>
  <c r="AC511" i="3" s="1"/>
  <c r="AB512" i="3" a="1"/>
  <c r="AB512" i="3" s="1"/>
  <c r="AC512" i="3" s="1"/>
  <c r="AB513" i="3" a="1"/>
  <c r="AB513" i="3" s="1"/>
  <c r="AC513" i="3" s="1"/>
  <c r="AB514" i="3" a="1"/>
  <c r="AB514" i="3" s="1"/>
  <c r="AC514" i="3" s="1"/>
  <c r="AB515" i="3" a="1"/>
  <c r="AB515" i="3" s="1"/>
  <c r="AC515" i="3" s="1"/>
  <c r="AB516" i="3" a="1"/>
  <c r="AB516" i="3" s="1"/>
  <c r="AC516" i="3" s="1"/>
  <c r="AB517" i="3" a="1"/>
  <c r="AB517" i="3" s="1"/>
  <c r="AC517" i="3" s="1"/>
  <c r="AB518" i="3" a="1"/>
  <c r="AB518" i="3" s="1"/>
  <c r="AC518" i="3" s="1"/>
  <c r="AB519" i="3" a="1"/>
  <c r="AB519" i="3" s="1"/>
  <c r="AC519" i="3" s="1"/>
  <c r="AB520" i="3" a="1"/>
  <c r="AB520" i="3" s="1"/>
  <c r="AC520" i="3" s="1"/>
  <c r="AB521" i="3" a="1"/>
  <c r="AB521" i="3" s="1"/>
  <c r="AC521" i="3" s="1"/>
  <c r="AB522" i="3" a="1"/>
  <c r="AB522" i="3" s="1"/>
  <c r="AC522" i="3" s="1"/>
  <c r="AB523" i="3" a="1"/>
  <c r="AB523" i="3" s="1"/>
  <c r="AC523" i="3" s="1"/>
  <c r="AB524" i="3" a="1"/>
  <c r="AB524" i="3" s="1"/>
  <c r="AC524" i="3" s="1"/>
  <c r="AB525" i="3" a="1"/>
  <c r="AB525" i="3" s="1"/>
  <c r="AC525" i="3" s="1"/>
  <c r="AB526" i="3" a="1"/>
  <c r="AB526" i="3" s="1"/>
  <c r="AC526" i="3" s="1"/>
  <c r="AB527" i="3" a="1"/>
  <c r="AB527" i="3" s="1"/>
  <c r="AC527" i="3" s="1"/>
  <c r="AB528" i="3" a="1"/>
  <c r="AB528" i="3" s="1"/>
  <c r="AC528" i="3" s="1"/>
  <c r="AB529" i="3" a="1"/>
  <c r="AB529" i="3" s="1"/>
  <c r="AC529" i="3" s="1"/>
  <c r="AB530" i="3" a="1"/>
  <c r="AB530" i="3" s="1"/>
  <c r="AC530" i="3" s="1"/>
  <c r="AB531" i="3" a="1"/>
  <c r="AB531" i="3" s="1"/>
  <c r="AC531" i="3" s="1"/>
  <c r="AB532" i="3" a="1"/>
  <c r="AB532" i="3" s="1"/>
  <c r="AC532" i="3" s="1"/>
  <c r="AB533" i="3" a="1"/>
  <c r="AB533" i="3" s="1"/>
  <c r="AC533" i="3" s="1"/>
  <c r="AB534" i="3" a="1"/>
  <c r="AB534" i="3" s="1"/>
  <c r="AC534" i="3" s="1"/>
  <c r="AB535" i="3" a="1"/>
  <c r="AB535" i="3" s="1"/>
  <c r="AC535" i="3" s="1"/>
  <c r="AB536" i="3" a="1"/>
  <c r="AB536" i="3" s="1"/>
  <c r="AC536" i="3" s="1"/>
  <c r="AB537" i="3" a="1"/>
  <c r="AB537" i="3" s="1"/>
  <c r="AC537" i="3" s="1"/>
  <c r="AB538" i="3" a="1"/>
  <c r="AB538" i="3" s="1"/>
  <c r="AC538" i="3" s="1"/>
  <c r="AB539" i="3" a="1"/>
  <c r="AB539" i="3" s="1"/>
  <c r="AC539" i="3" s="1"/>
  <c r="AB540" i="3" a="1"/>
  <c r="AB540" i="3" s="1"/>
  <c r="AC540" i="3" s="1"/>
  <c r="AB541" i="3" a="1"/>
  <c r="AB541" i="3" s="1"/>
  <c r="AC541" i="3" s="1"/>
  <c r="AB542" i="3" a="1"/>
  <c r="AB542" i="3" s="1"/>
  <c r="AC542" i="3" s="1"/>
  <c r="AB543" i="3" a="1"/>
  <c r="AB543" i="3" s="1"/>
  <c r="AC543" i="3" s="1"/>
  <c r="AB544" i="3" a="1"/>
  <c r="AB544" i="3" s="1"/>
  <c r="AC544" i="3" s="1"/>
  <c r="AB545" i="3" a="1"/>
  <c r="AB545" i="3" s="1"/>
  <c r="AC545" i="3" s="1"/>
  <c r="AB546" i="3" a="1"/>
  <c r="AB546" i="3" s="1"/>
  <c r="AC546" i="3" s="1"/>
  <c r="AB547" i="3" a="1"/>
  <c r="AB547" i="3" s="1"/>
  <c r="AC547" i="3" s="1"/>
  <c r="AB548" i="3" a="1"/>
  <c r="AB548" i="3" s="1"/>
  <c r="AC548" i="3" s="1"/>
  <c r="AB549" i="3" a="1"/>
  <c r="AB549" i="3" s="1"/>
  <c r="AC549" i="3" s="1"/>
  <c r="AB550" i="3" a="1"/>
  <c r="AB550" i="3" s="1"/>
  <c r="AC550" i="3" s="1"/>
  <c r="AB551" i="3" a="1"/>
  <c r="AB551" i="3" s="1"/>
  <c r="AC551" i="3" s="1"/>
  <c r="AB552" i="3" a="1"/>
  <c r="AB552" i="3" s="1"/>
  <c r="AC552" i="3" s="1"/>
  <c r="AB553" i="3" a="1"/>
  <c r="AB553" i="3" s="1"/>
  <c r="AC553" i="3" s="1"/>
  <c r="AB554" i="3" a="1"/>
  <c r="AB554" i="3" s="1"/>
  <c r="AC554" i="3" s="1"/>
  <c r="AB555" i="3" a="1"/>
  <c r="AB555" i="3" s="1"/>
  <c r="AC555" i="3" s="1"/>
  <c r="AB556" i="3" a="1"/>
  <c r="AB556" i="3" s="1"/>
  <c r="AC556" i="3" s="1"/>
  <c r="AB557" i="3" a="1"/>
  <c r="AB557" i="3" s="1"/>
  <c r="AC557" i="3" s="1"/>
  <c r="AB558" i="3" a="1"/>
  <c r="AB558" i="3" s="1"/>
  <c r="AC558" i="3" s="1"/>
  <c r="AB559" i="3" a="1"/>
  <c r="AB559" i="3" s="1"/>
  <c r="AC559" i="3" s="1"/>
  <c r="AB560" i="3" a="1"/>
  <c r="AB560" i="3" s="1"/>
  <c r="AC560" i="3" s="1"/>
  <c r="AB561" i="3" a="1"/>
  <c r="AB561" i="3" s="1"/>
  <c r="AC561" i="3" s="1"/>
  <c r="AB562" i="3" a="1"/>
  <c r="AB562" i="3" s="1"/>
  <c r="AC562" i="3" s="1"/>
  <c r="AB563" i="3" a="1"/>
  <c r="AB563" i="3" s="1"/>
  <c r="AC563" i="3" s="1"/>
  <c r="AB564" i="3" a="1"/>
  <c r="AB564" i="3" s="1"/>
  <c r="AC564" i="3" s="1"/>
  <c r="AB565" i="3" a="1"/>
  <c r="AB565" i="3" s="1"/>
  <c r="AC565" i="3" s="1"/>
  <c r="AB566" i="3" a="1"/>
  <c r="AB566" i="3" s="1"/>
  <c r="AC566" i="3" s="1"/>
  <c r="AB567" i="3" a="1"/>
  <c r="AB567" i="3" s="1"/>
  <c r="AC567" i="3" s="1"/>
  <c r="AB568" i="3" a="1"/>
  <c r="AB568" i="3" s="1"/>
  <c r="AC568" i="3" s="1"/>
  <c r="AB569" i="3" a="1"/>
  <c r="AB569" i="3" s="1"/>
  <c r="AC569" i="3" s="1"/>
  <c r="AB570" i="3" a="1"/>
  <c r="AB570" i="3" s="1"/>
  <c r="AC570" i="3" s="1"/>
  <c r="AB571" i="3" a="1"/>
  <c r="AB571" i="3" s="1"/>
  <c r="AC571" i="3" s="1"/>
  <c r="AB572" i="3" a="1"/>
  <c r="AB572" i="3" s="1"/>
  <c r="AC572" i="3" s="1"/>
  <c r="AB573" i="3" a="1"/>
  <c r="AB573" i="3" s="1"/>
  <c r="AC573" i="3" s="1"/>
  <c r="AB574" i="3" a="1"/>
  <c r="AB574" i="3" s="1"/>
  <c r="AC574" i="3" s="1"/>
  <c r="AB575" i="3" a="1"/>
  <c r="AB575" i="3" s="1"/>
  <c r="AC575" i="3" s="1"/>
  <c r="AB576" i="3" a="1"/>
  <c r="AB576" i="3" s="1"/>
  <c r="AC576" i="3" s="1"/>
  <c r="AB577" i="3" a="1"/>
  <c r="AB577" i="3" s="1"/>
  <c r="AC577" i="3" s="1"/>
  <c r="AB578" i="3" a="1"/>
  <c r="AB578" i="3" s="1"/>
  <c r="AC578" i="3" s="1"/>
  <c r="AB579" i="3" a="1"/>
  <c r="AB579" i="3" s="1"/>
  <c r="AC579" i="3" s="1"/>
  <c r="AB580" i="3" a="1"/>
  <c r="AB580" i="3" s="1"/>
  <c r="AC580" i="3" s="1"/>
  <c r="AB581" i="3" a="1"/>
  <c r="AB581" i="3" s="1"/>
  <c r="AC581" i="3" s="1"/>
  <c r="AB582" i="3" a="1"/>
  <c r="AB582" i="3" s="1"/>
  <c r="AC582" i="3" s="1"/>
  <c r="AB583" i="3" a="1"/>
  <c r="AB583" i="3" s="1"/>
  <c r="AC583" i="3" s="1"/>
  <c r="AB584" i="3" a="1"/>
  <c r="AB584" i="3" s="1"/>
  <c r="AC584" i="3" s="1"/>
  <c r="AB585" i="3" a="1"/>
  <c r="AB585" i="3" s="1"/>
  <c r="AC585" i="3" s="1"/>
  <c r="AB586" i="3" a="1"/>
  <c r="AB586" i="3" s="1"/>
  <c r="AC586" i="3" s="1"/>
  <c r="AB587" i="3" a="1"/>
  <c r="AB587" i="3" s="1"/>
  <c r="AC587" i="3" s="1"/>
  <c r="AB588" i="3" a="1"/>
  <c r="AB588" i="3" s="1"/>
  <c r="AC588" i="3" s="1"/>
  <c r="AB589" i="3" a="1"/>
  <c r="AB589" i="3" s="1"/>
  <c r="AC589" i="3" s="1"/>
  <c r="AB590" i="3" a="1"/>
  <c r="AB590" i="3" s="1"/>
  <c r="AC590" i="3" s="1"/>
  <c r="AB591" i="3" a="1"/>
  <c r="AB591" i="3" s="1"/>
  <c r="AC591" i="3" s="1"/>
  <c r="AB592" i="3" a="1"/>
  <c r="AB592" i="3" s="1"/>
  <c r="AC592" i="3" s="1"/>
  <c r="AB593" i="3" a="1"/>
  <c r="AB593" i="3" s="1"/>
  <c r="AC593" i="3" s="1"/>
  <c r="AB594" i="3" a="1"/>
  <c r="AB594" i="3" s="1"/>
  <c r="AC594" i="3" s="1"/>
  <c r="AB595" i="3" a="1"/>
  <c r="AB595" i="3" s="1"/>
  <c r="AC595" i="3" s="1"/>
  <c r="AB596" i="3" a="1"/>
  <c r="AB596" i="3" s="1"/>
  <c r="AC596" i="3" s="1"/>
  <c r="AB597" i="3" a="1"/>
  <c r="AB597" i="3" s="1"/>
  <c r="AC597" i="3" s="1"/>
  <c r="AB598" i="3" a="1"/>
  <c r="AB598" i="3" s="1"/>
  <c r="AC598" i="3" s="1"/>
  <c r="AB599" i="3" a="1"/>
  <c r="AB599" i="3" s="1"/>
  <c r="AC599" i="3" s="1"/>
  <c r="AB600" i="3" a="1"/>
  <c r="AB600" i="3" s="1"/>
  <c r="AC600" i="3" s="1"/>
  <c r="AB601" i="3" a="1"/>
  <c r="AB601" i="3" s="1"/>
  <c r="AC601" i="3" s="1"/>
  <c r="AB602" i="3" a="1"/>
  <c r="AB602" i="3" s="1"/>
  <c r="AC602" i="3" s="1"/>
  <c r="AB603" i="3" a="1"/>
  <c r="AB603" i="3" s="1"/>
  <c r="AC603" i="3" s="1"/>
  <c r="AB604" i="3" a="1"/>
  <c r="AB604" i="3" s="1"/>
  <c r="AC604" i="3" s="1"/>
  <c r="AB605" i="3" a="1"/>
  <c r="AB605" i="3" s="1"/>
  <c r="AC605" i="3" s="1"/>
  <c r="AB606" i="3" a="1"/>
  <c r="AB606" i="3" s="1"/>
  <c r="AC606" i="3" s="1"/>
  <c r="AB607" i="3" a="1"/>
  <c r="AB607" i="3" s="1"/>
  <c r="AC607" i="3" s="1"/>
  <c r="AB608" i="3" a="1"/>
  <c r="AB608" i="3" s="1"/>
  <c r="AC608" i="3" s="1"/>
  <c r="AB609" i="3" a="1"/>
  <c r="AB609" i="3" s="1"/>
  <c r="AC609" i="3" s="1"/>
  <c r="AB610" i="3" a="1"/>
  <c r="AB610" i="3" s="1"/>
  <c r="AC610" i="3" s="1"/>
  <c r="AB611" i="3" a="1"/>
  <c r="AB611" i="3" s="1"/>
  <c r="AC611" i="3" s="1"/>
  <c r="AB612" i="3" a="1"/>
  <c r="AB612" i="3" s="1"/>
  <c r="AC612" i="3" s="1"/>
  <c r="AB613" i="3" a="1"/>
  <c r="AB613" i="3" s="1"/>
  <c r="AC613" i="3" s="1"/>
  <c r="AB614" i="3" a="1"/>
  <c r="AB614" i="3" s="1"/>
  <c r="AC614" i="3" s="1"/>
  <c r="AB615" i="3" a="1"/>
  <c r="AB615" i="3" s="1"/>
  <c r="AC615" i="3" s="1"/>
  <c r="AB616" i="3" a="1"/>
  <c r="AB616" i="3" s="1"/>
  <c r="AC616" i="3" s="1"/>
  <c r="AB617" i="3" a="1"/>
  <c r="AB617" i="3" s="1"/>
  <c r="AC617" i="3" s="1"/>
  <c r="AB618" i="3" a="1"/>
  <c r="AB618" i="3" s="1"/>
  <c r="AC618" i="3" s="1"/>
  <c r="AB619" i="3" a="1"/>
  <c r="AB619" i="3" s="1"/>
  <c r="AC619" i="3" s="1"/>
  <c r="AB620" i="3" a="1"/>
  <c r="AB620" i="3" s="1"/>
  <c r="AC620" i="3" s="1"/>
  <c r="AB621" i="3" a="1"/>
  <c r="AB621" i="3" s="1"/>
  <c r="AC621" i="3" s="1"/>
  <c r="AB622" i="3" a="1"/>
  <c r="AB622" i="3" s="1"/>
  <c r="AC622" i="3" s="1"/>
  <c r="AB623" i="3" a="1"/>
  <c r="AB623" i="3" s="1"/>
  <c r="AC623" i="3" s="1"/>
  <c r="AB624" i="3" a="1"/>
  <c r="AB624" i="3" s="1"/>
  <c r="AC624" i="3" s="1"/>
  <c r="AB625" i="3" a="1"/>
  <c r="AB625" i="3" s="1"/>
  <c r="AC625" i="3" s="1"/>
  <c r="AB626" i="3" a="1"/>
  <c r="AB626" i="3" s="1"/>
  <c r="AC626" i="3" s="1"/>
  <c r="AB627" i="3" a="1"/>
  <c r="AB627" i="3" s="1"/>
  <c r="AC627" i="3" s="1"/>
  <c r="AB628" i="3" a="1"/>
  <c r="AB628" i="3" s="1"/>
  <c r="AC628" i="3" s="1"/>
  <c r="AB629" i="3" a="1"/>
  <c r="AB629" i="3" s="1"/>
  <c r="AC629" i="3" s="1"/>
  <c r="AB630" i="3" a="1"/>
  <c r="AB630" i="3" s="1"/>
  <c r="AC630" i="3" s="1"/>
  <c r="AB631" i="3" a="1"/>
  <c r="AB631" i="3" s="1"/>
  <c r="AC631" i="3" s="1"/>
  <c r="AB632" i="3" a="1"/>
  <c r="AB632" i="3" s="1"/>
  <c r="AC632" i="3" s="1"/>
  <c r="AB633" i="3" a="1"/>
  <c r="AB633" i="3" s="1"/>
  <c r="AC633" i="3" s="1"/>
  <c r="AB634" i="3" a="1"/>
  <c r="AB634" i="3" s="1"/>
  <c r="AC634" i="3" s="1"/>
  <c r="AB635" i="3" a="1"/>
  <c r="AB635" i="3" s="1"/>
  <c r="AC635" i="3" s="1"/>
  <c r="AB636" i="3" a="1"/>
  <c r="AB636" i="3" s="1"/>
  <c r="AC636" i="3" s="1"/>
  <c r="AB637" i="3" a="1"/>
  <c r="AB637" i="3" s="1"/>
  <c r="AC637" i="3" s="1"/>
  <c r="AB638" i="3" a="1"/>
  <c r="AB638" i="3" s="1"/>
  <c r="AC638" i="3" s="1"/>
  <c r="AB639" i="3" a="1"/>
  <c r="AB639" i="3" s="1"/>
  <c r="AC639" i="3" s="1"/>
  <c r="AB640" i="3" a="1"/>
  <c r="AB640" i="3" s="1"/>
  <c r="AC640" i="3" s="1"/>
  <c r="AB641" i="3" a="1"/>
  <c r="AB641" i="3" s="1"/>
  <c r="AC641" i="3" s="1"/>
  <c r="AB642" i="3" a="1"/>
  <c r="AB642" i="3" s="1"/>
  <c r="AC642" i="3" s="1"/>
  <c r="AB643" i="3" a="1"/>
  <c r="AB643" i="3" s="1"/>
  <c r="AC643" i="3" s="1"/>
  <c r="AB644" i="3" a="1"/>
  <c r="AB644" i="3" s="1"/>
  <c r="AC644" i="3" s="1"/>
  <c r="AB645" i="3" a="1"/>
  <c r="AB645" i="3" s="1"/>
  <c r="AC645" i="3" s="1"/>
  <c r="AB646" i="3" a="1"/>
  <c r="AB646" i="3" s="1"/>
  <c r="AC646" i="3" s="1"/>
  <c r="AB647" i="3" a="1"/>
  <c r="AB647" i="3" s="1"/>
  <c r="AC647" i="3" s="1"/>
  <c r="AB648" i="3" a="1"/>
  <c r="AB648" i="3" s="1"/>
  <c r="AC648" i="3" s="1"/>
  <c r="AB649" i="3" a="1"/>
  <c r="AB649" i="3" s="1"/>
  <c r="AC649" i="3" s="1"/>
  <c r="AB650" i="3" a="1"/>
  <c r="AB650" i="3" s="1"/>
  <c r="AC650" i="3" s="1"/>
  <c r="AB651" i="3" a="1"/>
  <c r="AB651" i="3" s="1"/>
  <c r="AC651" i="3" s="1"/>
  <c r="AB652" i="3" a="1"/>
  <c r="AB652" i="3" s="1"/>
  <c r="AC652" i="3" s="1"/>
  <c r="AB653" i="3" a="1"/>
  <c r="AB653" i="3" s="1"/>
  <c r="AC653" i="3" s="1"/>
  <c r="AB654" i="3" a="1"/>
  <c r="AB654" i="3" s="1"/>
  <c r="AC654" i="3" s="1"/>
  <c r="AB655" i="3" a="1"/>
  <c r="AB655" i="3" s="1"/>
  <c r="AC655" i="3" s="1"/>
  <c r="AB656" i="3" a="1"/>
  <c r="AB656" i="3" s="1"/>
  <c r="AC656" i="3" s="1"/>
  <c r="AB657" i="3" a="1"/>
  <c r="AB657" i="3" s="1"/>
  <c r="AC657" i="3" s="1"/>
  <c r="AB658" i="3" a="1"/>
  <c r="AB658" i="3" s="1"/>
  <c r="AC658" i="3" s="1"/>
  <c r="AB659" i="3" a="1"/>
  <c r="AB659" i="3" s="1"/>
  <c r="AC659" i="3" s="1"/>
  <c r="AB660" i="3" a="1"/>
  <c r="AB660" i="3" s="1"/>
  <c r="AC660" i="3" s="1"/>
  <c r="AB661" i="3" a="1"/>
  <c r="AB661" i="3" s="1"/>
  <c r="AC661" i="3" s="1"/>
  <c r="AB662" i="3" a="1"/>
  <c r="AB662" i="3" s="1"/>
  <c r="AC662" i="3" s="1"/>
  <c r="AB663" i="3" a="1"/>
  <c r="AB663" i="3" s="1"/>
  <c r="AC663" i="3" s="1"/>
  <c r="AB664" i="3" a="1"/>
  <c r="AB664" i="3" s="1"/>
  <c r="AC664" i="3" s="1"/>
  <c r="AB665" i="3" a="1"/>
  <c r="AB665" i="3" s="1"/>
  <c r="AC665" i="3" s="1"/>
  <c r="AB666" i="3" a="1"/>
  <c r="AB666" i="3" s="1"/>
  <c r="AC666" i="3" s="1"/>
  <c r="AB667" i="3" a="1"/>
  <c r="AB667" i="3" s="1"/>
  <c r="AC667" i="3" s="1"/>
  <c r="AB668" i="3" a="1"/>
  <c r="AB668" i="3" s="1"/>
  <c r="AC668" i="3" s="1"/>
  <c r="AB669" i="3" a="1"/>
  <c r="AB669" i="3" s="1"/>
  <c r="AC669" i="3" s="1"/>
  <c r="AB670" i="3" a="1"/>
  <c r="AB670" i="3" s="1"/>
  <c r="AC670" i="3" s="1"/>
  <c r="AB671" i="3" a="1"/>
  <c r="AB671" i="3" s="1"/>
  <c r="AC671" i="3" s="1"/>
  <c r="AB672" i="3" a="1"/>
  <c r="AB672" i="3" s="1"/>
  <c r="AC672" i="3" s="1"/>
  <c r="AB673" i="3" a="1"/>
  <c r="AB673" i="3" s="1"/>
  <c r="AC673" i="3" s="1"/>
  <c r="AB674" i="3" a="1"/>
  <c r="AB674" i="3" s="1"/>
  <c r="AC674" i="3" s="1"/>
  <c r="AB675" i="3" a="1"/>
  <c r="AB675" i="3" s="1"/>
  <c r="AC675" i="3" s="1"/>
  <c r="AB676" i="3" a="1"/>
  <c r="AB676" i="3" s="1"/>
  <c r="AC676" i="3" s="1"/>
  <c r="AB677" i="3" a="1"/>
  <c r="AB677" i="3" s="1"/>
  <c r="AC677" i="3" s="1"/>
  <c r="AB678" i="3" a="1"/>
  <c r="AB678" i="3" s="1"/>
  <c r="AC678" i="3" s="1"/>
  <c r="AB679" i="3" a="1"/>
  <c r="AB679" i="3" s="1"/>
  <c r="AC679" i="3" s="1"/>
  <c r="AB680" i="3" a="1"/>
  <c r="AB680" i="3" s="1"/>
  <c r="AC680" i="3" s="1"/>
  <c r="AB681" i="3" a="1"/>
  <c r="AB681" i="3" s="1"/>
  <c r="AC681" i="3" s="1"/>
  <c r="AB682" i="3" a="1"/>
  <c r="AB682" i="3" s="1"/>
  <c r="AC682" i="3" s="1"/>
  <c r="AB683" i="3" a="1"/>
  <c r="AB683" i="3" s="1"/>
  <c r="AC683" i="3" s="1"/>
  <c r="AB684" i="3" a="1"/>
  <c r="AB684" i="3" s="1"/>
  <c r="AC684" i="3" s="1"/>
  <c r="AB685" i="3" a="1"/>
  <c r="AB685" i="3" s="1"/>
  <c r="AC685" i="3" s="1"/>
  <c r="AB686" i="3" a="1"/>
  <c r="AB686" i="3" s="1"/>
  <c r="AC686" i="3" s="1"/>
  <c r="AB687" i="3" a="1"/>
  <c r="AB687" i="3" s="1"/>
  <c r="AC687" i="3" s="1"/>
  <c r="AB688" i="3" a="1"/>
  <c r="AB688" i="3" s="1"/>
  <c r="AC688" i="3" s="1"/>
  <c r="AB689" i="3" a="1"/>
  <c r="AB689" i="3" s="1"/>
  <c r="AC689" i="3" s="1"/>
  <c r="AB690" i="3" a="1"/>
  <c r="AB690" i="3" s="1"/>
  <c r="AC690" i="3" s="1"/>
  <c r="AB691" i="3" a="1"/>
  <c r="AB691" i="3" s="1"/>
  <c r="AC691" i="3" s="1"/>
  <c r="AB692" i="3" a="1"/>
  <c r="AB692" i="3" s="1"/>
  <c r="AC692" i="3" s="1"/>
  <c r="AB693" i="3" a="1"/>
  <c r="AB693" i="3" s="1"/>
  <c r="AC693" i="3" s="1"/>
  <c r="AB694" i="3" a="1"/>
  <c r="AB694" i="3" s="1"/>
  <c r="AC694" i="3" s="1"/>
  <c r="AB695" i="3" a="1"/>
  <c r="AB695" i="3" s="1"/>
  <c r="AC695" i="3" s="1"/>
  <c r="AB696" i="3" a="1"/>
  <c r="AB696" i="3" s="1"/>
  <c r="AC696" i="3" s="1"/>
  <c r="AB697" i="3" a="1"/>
  <c r="AB697" i="3" s="1"/>
  <c r="AC697" i="3" s="1"/>
  <c r="AB698" i="3" a="1"/>
  <c r="AB698" i="3" s="1"/>
  <c r="AC698" i="3" s="1"/>
  <c r="AB699" i="3" a="1"/>
  <c r="AB699" i="3" s="1"/>
  <c r="AC699" i="3" s="1"/>
  <c r="AB700" i="3" a="1"/>
  <c r="AB700" i="3" s="1"/>
  <c r="AC700" i="3" s="1"/>
  <c r="AB701" i="3" a="1"/>
  <c r="AB701" i="3" s="1"/>
  <c r="AC701" i="3" s="1"/>
  <c r="AB702" i="3" a="1"/>
  <c r="AB702" i="3" s="1"/>
  <c r="AC702" i="3" s="1"/>
  <c r="AB703" i="3" a="1"/>
  <c r="AB703" i="3" s="1"/>
  <c r="AC703" i="3" s="1"/>
  <c r="AB704" i="3" a="1"/>
  <c r="AB704" i="3" s="1"/>
  <c r="AC704" i="3" s="1"/>
  <c r="AB705" i="3" a="1"/>
  <c r="AB705" i="3" s="1"/>
  <c r="AC705" i="3" s="1"/>
  <c r="AB706" i="3" a="1"/>
  <c r="AB706" i="3" s="1"/>
  <c r="AC706" i="3" s="1"/>
  <c r="AB707" i="3" a="1"/>
  <c r="AB707" i="3" s="1"/>
  <c r="AC707" i="3" s="1"/>
  <c r="AB708" i="3" a="1"/>
  <c r="AB708" i="3" s="1"/>
  <c r="AC708" i="3" s="1"/>
  <c r="AB709" i="3" a="1"/>
  <c r="AB709" i="3" s="1"/>
  <c r="AC709" i="3" s="1"/>
  <c r="AB710" i="3" a="1"/>
  <c r="AB710" i="3" s="1"/>
  <c r="AC710" i="3" s="1"/>
  <c r="AB711" i="3" a="1"/>
  <c r="AB711" i="3" s="1"/>
  <c r="AC711" i="3" s="1"/>
  <c r="AB712" i="3" a="1"/>
  <c r="AB712" i="3" s="1"/>
  <c r="AC712" i="3" s="1"/>
  <c r="AB713" i="3" a="1"/>
  <c r="AB713" i="3" s="1"/>
  <c r="AC713" i="3" s="1"/>
  <c r="AB714" i="3" a="1"/>
  <c r="AB714" i="3" s="1"/>
  <c r="AC714" i="3" s="1"/>
  <c r="AB715" i="3" a="1"/>
  <c r="AB715" i="3" s="1"/>
  <c r="AC715" i="3" s="1"/>
  <c r="AB716" i="3" a="1"/>
  <c r="AB716" i="3" s="1"/>
  <c r="AC716" i="3" s="1"/>
  <c r="AB717" i="3" a="1"/>
  <c r="AB717" i="3" s="1"/>
  <c r="AC717" i="3" s="1"/>
  <c r="AB718" i="3" a="1"/>
  <c r="AB718" i="3" s="1"/>
  <c r="AC718" i="3" s="1"/>
  <c r="AB719" i="3" a="1"/>
  <c r="AB719" i="3" s="1"/>
  <c r="AC719" i="3" s="1"/>
  <c r="AB720" i="3" a="1"/>
  <c r="AB720" i="3" s="1"/>
  <c r="AC720" i="3" s="1"/>
  <c r="AB721" i="3" a="1"/>
  <c r="AB721" i="3" s="1"/>
  <c r="AC721" i="3" s="1"/>
  <c r="AB722" i="3" a="1"/>
  <c r="AB722" i="3" s="1"/>
  <c r="AC722" i="3" s="1"/>
  <c r="AB723" i="3" a="1"/>
  <c r="AB723" i="3" s="1"/>
  <c r="AC723" i="3" s="1"/>
  <c r="AB724" i="3" a="1"/>
  <c r="AB724" i="3" s="1"/>
  <c r="AC724" i="3" s="1"/>
  <c r="AB725" i="3" a="1"/>
  <c r="AB725" i="3" s="1"/>
  <c r="AC725" i="3" s="1"/>
  <c r="AB726" i="3" a="1"/>
  <c r="AB726" i="3" s="1"/>
  <c r="AC726" i="3" s="1"/>
  <c r="AB727" i="3" a="1"/>
  <c r="AB727" i="3" s="1"/>
  <c r="AC727" i="3" s="1"/>
  <c r="AB728" i="3" a="1"/>
  <c r="AB728" i="3" s="1"/>
  <c r="AC728" i="3" s="1"/>
  <c r="AB729" i="3" a="1"/>
  <c r="AB729" i="3" s="1"/>
  <c r="AC729" i="3" s="1"/>
  <c r="AB730" i="3" a="1"/>
  <c r="AB730" i="3" s="1"/>
  <c r="AC730" i="3" s="1"/>
  <c r="AB731" i="3" a="1"/>
  <c r="AB731" i="3" s="1"/>
  <c r="AC731" i="3" s="1"/>
  <c r="AB732" i="3" a="1"/>
  <c r="AB732" i="3" s="1"/>
  <c r="AC732" i="3" s="1"/>
  <c r="AB733" i="3" a="1"/>
  <c r="AB733" i="3" s="1"/>
  <c r="AC733" i="3" s="1"/>
  <c r="AB734" i="3" a="1"/>
  <c r="AB734" i="3" s="1"/>
  <c r="AC734" i="3" s="1"/>
  <c r="AB735" i="3" a="1"/>
  <c r="AB735" i="3" s="1"/>
  <c r="AC735" i="3" s="1"/>
  <c r="AB736" i="3" a="1"/>
  <c r="AB736" i="3" s="1"/>
  <c r="AC736" i="3" s="1"/>
  <c r="AB737" i="3" a="1"/>
  <c r="AB737" i="3" s="1"/>
  <c r="AC737" i="3" s="1"/>
  <c r="AB738" i="3" a="1"/>
  <c r="AB738" i="3" s="1"/>
  <c r="AC738" i="3" s="1"/>
  <c r="AB739" i="3" a="1"/>
  <c r="AB739" i="3" s="1"/>
  <c r="AC739" i="3" s="1"/>
  <c r="AB740" i="3" a="1"/>
  <c r="AB740" i="3" s="1"/>
  <c r="AC740" i="3" s="1"/>
  <c r="AB741" i="3" a="1"/>
  <c r="AB741" i="3" s="1"/>
  <c r="AC741" i="3" s="1"/>
  <c r="AB742" i="3" a="1"/>
  <c r="AB742" i="3" s="1"/>
  <c r="AC742" i="3" s="1"/>
  <c r="AB743" i="3" a="1"/>
  <c r="AB743" i="3" s="1"/>
  <c r="AC743" i="3" s="1"/>
  <c r="AB744" i="3" a="1"/>
  <c r="AB744" i="3" s="1"/>
  <c r="AC744" i="3" s="1"/>
  <c r="AB745" i="3" a="1"/>
  <c r="AB745" i="3" s="1"/>
  <c r="AC745" i="3" s="1"/>
  <c r="AB746" i="3" a="1"/>
  <c r="AB746" i="3" s="1"/>
  <c r="AC746" i="3" s="1"/>
  <c r="AB747" i="3" a="1"/>
  <c r="AB747" i="3" s="1"/>
  <c r="AC747" i="3" s="1"/>
  <c r="AB748" i="3" a="1"/>
  <c r="AB748" i="3" s="1"/>
  <c r="AC748" i="3" s="1"/>
  <c r="AB749" i="3" a="1"/>
  <c r="AB749" i="3" s="1"/>
  <c r="AC749" i="3" s="1"/>
  <c r="AB750" i="3" a="1"/>
  <c r="AB750" i="3" s="1"/>
  <c r="AC750" i="3" s="1"/>
  <c r="AB751" i="3" a="1"/>
  <c r="AB751" i="3" s="1"/>
  <c r="AC751" i="3" s="1"/>
  <c r="AB752" i="3" a="1"/>
  <c r="AB752" i="3" s="1"/>
  <c r="AC752" i="3" s="1"/>
  <c r="AB753" i="3" a="1"/>
  <c r="AB753" i="3" s="1"/>
  <c r="AC753" i="3" s="1"/>
  <c r="AB754" i="3" a="1"/>
  <c r="AB754" i="3" s="1"/>
  <c r="AC754" i="3" s="1"/>
  <c r="AB755" i="3" a="1"/>
  <c r="AB755" i="3" s="1"/>
  <c r="AC755" i="3" s="1"/>
  <c r="AB756" i="3" a="1"/>
  <c r="AB756" i="3" s="1"/>
  <c r="AC756" i="3" s="1"/>
  <c r="AB757" i="3" a="1"/>
  <c r="AB757" i="3" s="1"/>
  <c r="AC757" i="3" s="1"/>
  <c r="AB758" i="3" a="1"/>
  <c r="AB758" i="3" s="1"/>
  <c r="AC758" i="3" s="1"/>
  <c r="AB759" i="3" a="1"/>
  <c r="AB759" i="3" s="1"/>
  <c r="AC759" i="3" s="1"/>
  <c r="AB760" i="3" a="1"/>
  <c r="AB760" i="3" s="1"/>
  <c r="AC760" i="3" s="1"/>
  <c r="AB761" i="3" a="1"/>
  <c r="AB761" i="3" s="1"/>
  <c r="AC761" i="3" s="1"/>
  <c r="AB762" i="3" a="1"/>
  <c r="AB762" i="3" s="1"/>
  <c r="AC762" i="3" s="1"/>
  <c r="AB763" i="3" a="1"/>
  <c r="AB763" i="3" s="1"/>
  <c r="AC763" i="3" s="1"/>
  <c r="AB764" i="3" a="1"/>
  <c r="AB764" i="3" s="1"/>
  <c r="AC764" i="3" s="1"/>
  <c r="AB765" i="3" a="1"/>
  <c r="AB765" i="3" s="1"/>
  <c r="AC765" i="3" s="1"/>
  <c r="AB766" i="3" a="1"/>
  <c r="AB766" i="3" s="1"/>
  <c r="AC766" i="3" s="1"/>
  <c r="AB767" i="3" a="1"/>
  <c r="AB767" i="3" s="1"/>
  <c r="AC767" i="3" s="1"/>
  <c r="AB768" i="3" a="1"/>
  <c r="AB768" i="3" s="1"/>
  <c r="AC768" i="3" s="1"/>
  <c r="AB769" i="3" a="1"/>
  <c r="AB769" i="3" s="1"/>
  <c r="AC769" i="3" s="1"/>
  <c r="AB770" i="3" a="1"/>
  <c r="AB770" i="3" s="1"/>
  <c r="AC770" i="3" s="1"/>
  <c r="AB771" i="3" a="1"/>
  <c r="AB771" i="3" s="1"/>
  <c r="AC771" i="3" s="1"/>
  <c r="AB772" i="3" a="1"/>
  <c r="AB772" i="3" s="1"/>
  <c r="AC772" i="3" s="1"/>
  <c r="AB773" i="3" a="1"/>
  <c r="AB773" i="3" s="1"/>
  <c r="AC773" i="3" s="1"/>
  <c r="AB774" i="3" a="1"/>
  <c r="AB774" i="3" s="1"/>
  <c r="AC774" i="3" s="1"/>
  <c r="AB775" i="3" a="1"/>
  <c r="AB775" i="3" s="1"/>
  <c r="AC775" i="3" s="1"/>
  <c r="AB776" i="3" a="1"/>
  <c r="AB776" i="3" s="1"/>
  <c r="AC776" i="3" s="1"/>
  <c r="AB777" i="3" a="1"/>
  <c r="AB777" i="3" s="1"/>
  <c r="AC777" i="3" s="1"/>
  <c r="AB778" i="3" a="1"/>
  <c r="AB778" i="3" s="1"/>
  <c r="AC778" i="3" s="1"/>
  <c r="AB779" i="3" a="1"/>
  <c r="AB779" i="3" s="1"/>
  <c r="AC779" i="3" s="1"/>
  <c r="AB780" i="3" a="1"/>
  <c r="AB780" i="3" s="1"/>
  <c r="AC780" i="3" s="1"/>
  <c r="AB781" i="3" a="1"/>
  <c r="AB781" i="3" s="1"/>
  <c r="AC781" i="3" s="1"/>
  <c r="AB782" i="3" a="1"/>
  <c r="AB782" i="3" s="1"/>
  <c r="AC782" i="3" s="1"/>
  <c r="AB783" i="3" a="1"/>
  <c r="AB783" i="3" s="1"/>
  <c r="AC783" i="3" s="1"/>
  <c r="AB784" i="3" a="1"/>
  <c r="AB784" i="3" s="1"/>
  <c r="AC784" i="3" s="1"/>
  <c r="AB785" i="3" a="1"/>
  <c r="AB785" i="3" s="1"/>
  <c r="AC785" i="3" s="1"/>
  <c r="AB786" i="3" a="1"/>
  <c r="AB786" i="3" s="1"/>
  <c r="AC786" i="3" s="1"/>
  <c r="AB787" i="3" a="1"/>
  <c r="AB787" i="3" s="1"/>
  <c r="AC787" i="3" s="1"/>
  <c r="AB788" i="3" a="1"/>
  <c r="AB788" i="3" s="1"/>
  <c r="AC788" i="3" s="1"/>
  <c r="AB789" i="3" a="1"/>
  <c r="AB789" i="3" s="1"/>
  <c r="AC789" i="3" s="1"/>
  <c r="AB790" i="3" a="1"/>
  <c r="AB790" i="3" s="1"/>
  <c r="AC790" i="3" s="1"/>
  <c r="AB791" i="3" a="1"/>
  <c r="AB791" i="3" s="1"/>
  <c r="AC791" i="3" s="1"/>
  <c r="AB792" i="3" a="1"/>
  <c r="AB792" i="3" s="1"/>
  <c r="AC792" i="3" s="1"/>
  <c r="AB793" i="3" a="1"/>
  <c r="AB793" i="3" s="1"/>
  <c r="AC793" i="3" s="1"/>
  <c r="AB794" i="3" a="1"/>
  <c r="AB794" i="3" s="1"/>
  <c r="AC794" i="3" s="1"/>
  <c r="AB795" i="3" a="1"/>
  <c r="AB795" i="3" s="1"/>
  <c r="AC795" i="3" s="1"/>
  <c r="AB796" i="3" a="1"/>
  <c r="AB796" i="3" s="1"/>
  <c r="AC796" i="3" s="1"/>
  <c r="AB797" i="3" a="1"/>
  <c r="AB797" i="3" s="1"/>
  <c r="AC797" i="3" s="1"/>
  <c r="AB798" i="3" a="1"/>
  <c r="AB798" i="3" s="1"/>
  <c r="AC798" i="3" s="1"/>
  <c r="AB799" i="3" a="1"/>
  <c r="AB799" i="3" s="1"/>
  <c r="AC799" i="3" s="1"/>
  <c r="AB800" i="3" a="1"/>
  <c r="AB800" i="3" s="1"/>
  <c r="AC800" i="3" s="1"/>
  <c r="AB801" i="3" a="1"/>
  <c r="AB801" i="3" s="1"/>
  <c r="AC801" i="3" s="1"/>
  <c r="AB802" i="3" a="1"/>
  <c r="AB802" i="3" s="1"/>
  <c r="AC802" i="3" s="1"/>
  <c r="AB803" i="3" a="1"/>
  <c r="AB803" i="3" s="1"/>
  <c r="AC803" i="3" s="1"/>
  <c r="AB804" i="3" a="1"/>
  <c r="AB804" i="3" s="1"/>
  <c r="AC804" i="3" s="1"/>
  <c r="AB805" i="3" a="1"/>
  <c r="AB805" i="3" s="1"/>
  <c r="AC805" i="3" s="1"/>
  <c r="AB806" i="3" a="1"/>
  <c r="AB806" i="3" s="1"/>
  <c r="AC806" i="3" s="1"/>
  <c r="AB807" i="3" a="1"/>
  <c r="AB807" i="3" s="1"/>
  <c r="AC807" i="3" s="1"/>
  <c r="AB808" i="3" a="1"/>
  <c r="AB808" i="3" s="1"/>
  <c r="AC808" i="3" s="1"/>
  <c r="AB809" i="3" a="1"/>
  <c r="AB809" i="3" s="1"/>
  <c r="AC809" i="3" s="1"/>
  <c r="AB810" i="3" a="1"/>
  <c r="AB810" i="3" s="1"/>
  <c r="AC810" i="3" s="1"/>
  <c r="AB811" i="3" a="1"/>
  <c r="AB811" i="3" s="1"/>
  <c r="AC811" i="3" s="1"/>
  <c r="AB812" i="3" a="1"/>
  <c r="AB812" i="3" s="1"/>
  <c r="AC812" i="3" s="1"/>
  <c r="AB813" i="3" a="1"/>
  <c r="AB813" i="3" s="1"/>
  <c r="AC813" i="3" s="1"/>
  <c r="AB814" i="3" a="1"/>
  <c r="AB814" i="3" s="1"/>
  <c r="AC814" i="3" s="1"/>
  <c r="AB815" i="3" a="1"/>
  <c r="AB815" i="3" s="1"/>
  <c r="AC815" i="3" s="1"/>
  <c r="AB816" i="3" a="1"/>
  <c r="AB816" i="3" s="1"/>
  <c r="AC816" i="3" s="1"/>
  <c r="AB817" i="3" a="1"/>
  <c r="AB817" i="3" s="1"/>
  <c r="AC817" i="3" s="1"/>
  <c r="AB818" i="3" a="1"/>
  <c r="AB818" i="3" s="1"/>
  <c r="AC818" i="3" s="1"/>
  <c r="AB819" i="3" a="1"/>
  <c r="AB819" i="3" s="1"/>
  <c r="AC819" i="3" s="1"/>
  <c r="AB820" i="3" a="1"/>
  <c r="AB820" i="3" s="1"/>
  <c r="AC820" i="3" s="1"/>
  <c r="AB821" i="3" a="1"/>
  <c r="AB821" i="3" s="1"/>
  <c r="AC821" i="3" s="1"/>
  <c r="AB822" i="3" a="1"/>
  <c r="AB822" i="3" s="1"/>
  <c r="AC822" i="3" s="1"/>
  <c r="AB823" i="3" a="1"/>
  <c r="AB823" i="3" s="1"/>
  <c r="AC823" i="3" s="1"/>
  <c r="AB824" i="3" a="1"/>
  <c r="AB824" i="3" s="1"/>
  <c r="AC824" i="3" s="1"/>
  <c r="AB825" i="3" a="1"/>
  <c r="AB825" i="3" s="1"/>
  <c r="AC825" i="3" s="1"/>
  <c r="AB826" i="3" a="1"/>
  <c r="AB826" i="3" s="1"/>
  <c r="AC826" i="3" s="1"/>
  <c r="AB827" i="3" a="1"/>
  <c r="AB827" i="3" s="1"/>
  <c r="AC827" i="3" s="1"/>
  <c r="AB828" i="3" a="1"/>
  <c r="AB828" i="3" s="1"/>
  <c r="AC828" i="3" s="1"/>
  <c r="AB829" i="3" a="1"/>
  <c r="AB829" i="3" s="1"/>
  <c r="AC829" i="3" s="1"/>
  <c r="AB830" i="3" a="1"/>
  <c r="AB830" i="3" s="1"/>
  <c r="AC830" i="3" s="1"/>
  <c r="AB831" i="3" a="1"/>
  <c r="AB831" i="3" s="1"/>
  <c r="AC831" i="3" s="1"/>
  <c r="AB832" i="3" a="1"/>
  <c r="AB832" i="3" s="1"/>
  <c r="AC832" i="3" s="1"/>
  <c r="AB833" i="3" a="1"/>
  <c r="AB833" i="3" s="1"/>
  <c r="AC833" i="3" s="1"/>
  <c r="AB834" i="3" a="1"/>
  <c r="AB834" i="3" s="1"/>
  <c r="AC834" i="3" s="1"/>
  <c r="AB835" i="3" a="1"/>
  <c r="AB835" i="3" s="1"/>
  <c r="AC835" i="3" s="1"/>
  <c r="AB836" i="3" a="1"/>
  <c r="AB836" i="3" s="1"/>
  <c r="AC836" i="3" s="1"/>
  <c r="AB837" i="3" a="1"/>
  <c r="AB837" i="3" s="1"/>
  <c r="AC837" i="3" s="1"/>
  <c r="AB838" i="3" a="1"/>
  <c r="AB838" i="3" s="1"/>
  <c r="AC838" i="3" s="1"/>
  <c r="AB839" i="3" a="1"/>
  <c r="AB839" i="3" s="1"/>
  <c r="AC839" i="3" s="1"/>
  <c r="AB840" i="3" a="1"/>
  <c r="AB840" i="3" s="1"/>
  <c r="AC840" i="3" s="1"/>
  <c r="AB841" i="3" a="1"/>
  <c r="AB841" i="3" s="1"/>
  <c r="AC841" i="3" s="1"/>
  <c r="AB842" i="3" a="1"/>
  <c r="AB842" i="3" s="1"/>
  <c r="AC842" i="3" s="1"/>
  <c r="AB843" i="3" a="1"/>
  <c r="AB843" i="3" s="1"/>
  <c r="AC843" i="3" s="1"/>
  <c r="AB844" i="3" a="1"/>
  <c r="AB844" i="3" s="1"/>
  <c r="AC844" i="3" s="1"/>
  <c r="AB845" i="3" a="1"/>
  <c r="AB845" i="3" s="1"/>
  <c r="AC845" i="3" s="1"/>
  <c r="AB846" i="3" a="1"/>
  <c r="AB846" i="3" s="1"/>
  <c r="AC846" i="3" s="1"/>
  <c r="AB847" i="3" a="1"/>
  <c r="AB847" i="3" s="1"/>
  <c r="AC847" i="3" s="1"/>
  <c r="AB848" i="3" a="1"/>
  <c r="AB848" i="3" s="1"/>
  <c r="AC848" i="3" s="1"/>
  <c r="AB849" i="3" a="1"/>
  <c r="AB849" i="3" s="1"/>
  <c r="AC849" i="3" s="1"/>
  <c r="AB850" i="3" a="1"/>
  <c r="AB850" i="3" s="1"/>
  <c r="AC850" i="3" s="1"/>
  <c r="AB851" i="3" a="1"/>
  <c r="AB851" i="3" s="1"/>
  <c r="AC851" i="3" s="1"/>
  <c r="AB852" i="3" a="1"/>
  <c r="AB852" i="3" s="1"/>
  <c r="AC852" i="3" s="1"/>
  <c r="AB853" i="3" a="1"/>
  <c r="AB853" i="3" s="1"/>
  <c r="AC853" i="3" s="1"/>
  <c r="AB854" i="3" a="1"/>
  <c r="AB854" i="3" s="1"/>
  <c r="AC854" i="3" s="1"/>
  <c r="AB855" i="3" a="1"/>
  <c r="AB855" i="3" s="1"/>
  <c r="AC855" i="3" s="1"/>
  <c r="AB856" i="3" a="1"/>
  <c r="AB856" i="3" s="1"/>
  <c r="AC856" i="3" s="1"/>
  <c r="AB857" i="3" a="1"/>
  <c r="AB857" i="3" s="1"/>
  <c r="AC857" i="3" s="1"/>
  <c r="AB858" i="3" a="1"/>
  <c r="AB858" i="3" s="1"/>
  <c r="AC858" i="3" s="1"/>
  <c r="AB859" i="3" a="1"/>
  <c r="AB859" i="3" s="1"/>
  <c r="AC859" i="3" s="1"/>
  <c r="AB860" i="3" a="1"/>
  <c r="AB860" i="3" s="1"/>
  <c r="AC860" i="3" s="1"/>
  <c r="AB861" i="3" a="1"/>
  <c r="AB861" i="3" s="1"/>
  <c r="AC861" i="3" s="1"/>
  <c r="AB862" i="3" a="1"/>
  <c r="AB862" i="3" s="1"/>
  <c r="AC862" i="3" s="1"/>
  <c r="AB863" i="3" a="1"/>
  <c r="AB863" i="3" s="1"/>
  <c r="AC863" i="3" s="1"/>
  <c r="AB864" i="3" a="1"/>
  <c r="AB864" i="3" s="1"/>
  <c r="AC864" i="3" s="1"/>
  <c r="AB865" i="3" a="1"/>
  <c r="AB865" i="3" s="1"/>
  <c r="AC865" i="3" s="1"/>
  <c r="AB866" i="3" a="1"/>
  <c r="AB866" i="3" s="1"/>
  <c r="AC866" i="3" s="1"/>
  <c r="AB867" i="3" a="1"/>
  <c r="AB867" i="3" s="1"/>
  <c r="AC867" i="3" s="1"/>
  <c r="AB868" i="3" a="1"/>
  <c r="AB868" i="3" s="1"/>
  <c r="AC868" i="3" s="1"/>
  <c r="AB869" i="3" a="1"/>
  <c r="AB869" i="3" s="1"/>
  <c r="AC869" i="3" s="1"/>
  <c r="AB870" i="3" a="1"/>
  <c r="AB870" i="3" s="1"/>
  <c r="AC870" i="3" s="1"/>
  <c r="AB871" i="3" a="1"/>
  <c r="AB871" i="3" s="1"/>
  <c r="AC871" i="3" s="1"/>
  <c r="AB872" i="3" a="1"/>
  <c r="AB872" i="3" s="1"/>
  <c r="AC872" i="3" s="1"/>
  <c r="AB873" i="3" a="1"/>
  <c r="AB873" i="3" s="1"/>
  <c r="AC873" i="3" s="1"/>
  <c r="AB874" i="3" a="1"/>
  <c r="AB874" i="3" s="1"/>
  <c r="AC874" i="3" s="1"/>
  <c r="AB875" i="3" a="1"/>
  <c r="AB875" i="3" s="1"/>
  <c r="AC875" i="3" s="1"/>
  <c r="AB876" i="3" a="1"/>
  <c r="AB876" i="3" s="1"/>
  <c r="AC876" i="3" s="1"/>
  <c r="AB877" i="3" a="1"/>
  <c r="AB877" i="3" s="1"/>
  <c r="AC877" i="3" s="1"/>
  <c r="AB878" i="3" a="1"/>
  <c r="AB878" i="3" s="1"/>
  <c r="AC878" i="3" s="1"/>
  <c r="AB879" i="3" a="1"/>
  <c r="AB879" i="3" s="1"/>
  <c r="AC879" i="3" s="1"/>
  <c r="AB880" i="3" a="1"/>
  <c r="AB880" i="3" s="1"/>
  <c r="AC880" i="3" s="1"/>
  <c r="AB881" i="3" a="1"/>
  <c r="AB881" i="3" s="1"/>
  <c r="AC881" i="3" s="1"/>
  <c r="AB882" i="3" a="1"/>
  <c r="AB882" i="3" s="1"/>
  <c r="AC882" i="3" s="1"/>
  <c r="AB883" i="3" a="1"/>
  <c r="AB883" i="3" s="1"/>
  <c r="AC883" i="3" s="1"/>
  <c r="AB884" i="3" a="1"/>
  <c r="AB884" i="3" s="1"/>
  <c r="AC884" i="3" s="1"/>
  <c r="AB885" i="3" a="1"/>
  <c r="AB885" i="3" s="1"/>
  <c r="AC885" i="3" s="1"/>
  <c r="AB886" i="3" a="1"/>
  <c r="AB886" i="3" s="1"/>
  <c r="AC886" i="3" s="1"/>
  <c r="AB887" i="3" a="1"/>
  <c r="AB887" i="3" s="1"/>
  <c r="AC887" i="3" s="1"/>
  <c r="AB888" i="3" a="1"/>
  <c r="AB888" i="3" s="1"/>
  <c r="AC888" i="3" s="1"/>
  <c r="AB889" i="3" a="1"/>
  <c r="AB889" i="3" s="1"/>
  <c r="AC889" i="3" s="1"/>
  <c r="AB890" i="3" a="1"/>
  <c r="AB890" i="3" s="1"/>
  <c r="AC890" i="3" s="1"/>
  <c r="AB891" i="3" a="1"/>
  <c r="AB891" i="3" s="1"/>
  <c r="AC891" i="3" s="1"/>
  <c r="AB892" i="3" a="1"/>
  <c r="AB892" i="3" s="1"/>
  <c r="AC892" i="3" s="1"/>
  <c r="AB893" i="3" a="1"/>
  <c r="AB893" i="3" s="1"/>
  <c r="AC893" i="3" s="1"/>
  <c r="AB894" i="3" a="1"/>
  <c r="AB894" i="3" s="1"/>
  <c r="AC894" i="3" s="1"/>
  <c r="AB895" i="3" a="1"/>
  <c r="AB895" i="3" s="1"/>
  <c r="AC895" i="3" s="1"/>
  <c r="AB896" i="3" a="1"/>
  <c r="AB896" i="3" s="1"/>
  <c r="AC896" i="3" s="1"/>
  <c r="AB897" i="3" a="1"/>
  <c r="AB897" i="3" s="1"/>
  <c r="AC897" i="3" s="1"/>
  <c r="AB898" i="3" a="1"/>
  <c r="AB898" i="3" s="1"/>
  <c r="AC898" i="3" s="1"/>
  <c r="AB899" i="3" a="1"/>
  <c r="AB899" i="3" s="1"/>
  <c r="AC899" i="3" s="1"/>
  <c r="AB900" i="3" a="1"/>
  <c r="AB900" i="3" s="1"/>
  <c r="AC900" i="3" s="1"/>
  <c r="AB901" i="3" a="1"/>
  <c r="AB901" i="3" s="1"/>
  <c r="AC901" i="3" s="1"/>
  <c r="AB902" i="3" a="1"/>
  <c r="AB902" i="3" s="1"/>
  <c r="AC902" i="3" s="1"/>
  <c r="AB903" i="3" a="1"/>
  <c r="AB903" i="3" s="1"/>
  <c r="AC903" i="3" s="1"/>
  <c r="AB904" i="3" a="1"/>
  <c r="AB904" i="3" s="1"/>
  <c r="AC904" i="3" s="1"/>
  <c r="AB905" i="3" a="1"/>
  <c r="AB905" i="3" s="1"/>
  <c r="AC905" i="3" s="1"/>
  <c r="AB906" i="3" a="1"/>
  <c r="AB906" i="3" s="1"/>
  <c r="AC906" i="3" s="1"/>
  <c r="AB907" i="3" a="1"/>
  <c r="AB907" i="3" s="1"/>
  <c r="AC907" i="3" s="1"/>
  <c r="AB908" i="3" a="1"/>
  <c r="AB908" i="3" s="1"/>
  <c r="AC908" i="3" s="1"/>
  <c r="AB909" i="3" a="1"/>
  <c r="AB909" i="3" s="1"/>
  <c r="AC909" i="3" s="1"/>
  <c r="AB910" i="3" a="1"/>
  <c r="AB910" i="3" s="1"/>
  <c r="AC910" i="3" s="1"/>
  <c r="AB911" i="3" a="1"/>
  <c r="AB911" i="3" s="1"/>
  <c r="AC911" i="3" s="1"/>
  <c r="AB912" i="3" a="1"/>
  <c r="AB912" i="3" s="1"/>
  <c r="AC912" i="3" s="1"/>
  <c r="AB913" i="3" a="1"/>
  <c r="AB913" i="3" s="1"/>
  <c r="AC913" i="3" s="1"/>
  <c r="AB914" i="3" a="1"/>
  <c r="AB914" i="3" s="1"/>
  <c r="AC914" i="3" s="1"/>
  <c r="AB915" i="3" a="1"/>
  <c r="AB915" i="3" s="1"/>
  <c r="AC915" i="3" s="1"/>
  <c r="AB916" i="3" a="1"/>
  <c r="AB916" i="3" s="1"/>
  <c r="AC916" i="3" s="1"/>
  <c r="AB917" i="3" a="1"/>
  <c r="AB917" i="3" s="1"/>
  <c r="AC917" i="3" s="1"/>
  <c r="AB918" i="3" a="1"/>
  <c r="AB918" i="3" s="1"/>
  <c r="AC918" i="3" s="1"/>
  <c r="AB919" i="3" a="1"/>
  <c r="AB919" i="3" s="1"/>
  <c r="AC919" i="3" s="1"/>
  <c r="AB920" i="3" a="1"/>
  <c r="AB920" i="3" s="1"/>
  <c r="AC920" i="3" s="1"/>
  <c r="AB921" i="3" a="1"/>
  <c r="AB921" i="3" s="1"/>
  <c r="AC921" i="3" s="1"/>
  <c r="AB922" i="3" a="1"/>
  <c r="AB922" i="3" s="1"/>
  <c r="AC922" i="3" s="1"/>
  <c r="AB923" i="3" a="1"/>
  <c r="AB923" i="3" s="1"/>
  <c r="AC923" i="3" s="1"/>
  <c r="AB924" i="3" a="1"/>
  <c r="AB924" i="3" s="1"/>
  <c r="AC924" i="3" s="1"/>
  <c r="AB925" i="3" a="1"/>
  <c r="AB925" i="3" s="1"/>
  <c r="AC925" i="3" s="1"/>
  <c r="AB926" i="3" a="1"/>
  <c r="AB926" i="3" s="1"/>
  <c r="AC926" i="3" s="1"/>
  <c r="AB927" i="3" a="1"/>
  <c r="AB927" i="3" s="1"/>
  <c r="AC927" i="3" s="1"/>
  <c r="AB928" i="3" a="1"/>
  <c r="AB928" i="3" s="1"/>
  <c r="AC928" i="3" s="1"/>
  <c r="AB929" i="3" a="1"/>
  <c r="AB929" i="3" s="1"/>
  <c r="AC929" i="3" s="1"/>
  <c r="AB930" i="3" a="1"/>
  <c r="AB930" i="3" s="1"/>
  <c r="AC930" i="3" s="1"/>
  <c r="AB931" i="3" a="1"/>
  <c r="AB931" i="3" s="1"/>
  <c r="AC931" i="3" s="1"/>
  <c r="AB932" i="3" a="1"/>
  <c r="AB932" i="3" s="1"/>
  <c r="AC932" i="3" s="1"/>
  <c r="AB933" i="3" a="1"/>
  <c r="AB933" i="3" s="1"/>
  <c r="AC933" i="3" s="1"/>
  <c r="AB934" i="3" a="1"/>
  <c r="AB934" i="3" s="1"/>
  <c r="AC934" i="3" s="1"/>
  <c r="AB935" i="3" a="1"/>
  <c r="AB935" i="3" s="1"/>
  <c r="AC935" i="3" s="1"/>
  <c r="AB936" i="3" a="1"/>
  <c r="AB936" i="3" s="1"/>
  <c r="AC936" i="3" s="1"/>
  <c r="AB937" i="3" a="1"/>
  <c r="AB937" i="3" s="1"/>
  <c r="AC937" i="3" s="1"/>
  <c r="AB938" i="3" a="1"/>
  <c r="AB938" i="3" s="1"/>
  <c r="AC938" i="3" s="1"/>
  <c r="AB939" i="3" a="1"/>
  <c r="AB939" i="3" s="1"/>
  <c r="AC939" i="3" s="1"/>
  <c r="AB940" i="3" a="1"/>
  <c r="AB940" i="3" s="1"/>
  <c r="AC940" i="3" s="1"/>
  <c r="AB941" i="3" a="1"/>
  <c r="AB941" i="3" s="1"/>
  <c r="AC941" i="3" s="1"/>
  <c r="AB942" i="3" a="1"/>
  <c r="AB942" i="3" s="1"/>
  <c r="AC942" i="3" s="1"/>
  <c r="AB943" i="3" a="1"/>
  <c r="AB943" i="3" s="1"/>
  <c r="AC943" i="3" s="1"/>
  <c r="AB944" i="3" a="1"/>
  <c r="AB944" i="3" s="1"/>
  <c r="AC944" i="3" s="1"/>
  <c r="AB945" i="3" a="1"/>
  <c r="AB945" i="3" s="1"/>
  <c r="AC945" i="3" s="1"/>
  <c r="AB946" i="3" a="1"/>
  <c r="AB946" i="3" s="1"/>
  <c r="AC946" i="3" s="1"/>
  <c r="AB947" i="3" a="1"/>
  <c r="AB947" i="3" s="1"/>
  <c r="AC947" i="3" s="1"/>
  <c r="AB948" i="3" a="1"/>
  <c r="AB948" i="3" s="1"/>
  <c r="AC948" i="3" s="1"/>
  <c r="AB949" i="3" a="1"/>
  <c r="AB949" i="3" s="1"/>
  <c r="AC949" i="3" s="1"/>
  <c r="AB950" i="3" a="1"/>
  <c r="AB950" i="3" s="1"/>
  <c r="AC950" i="3" s="1"/>
  <c r="AB951" i="3" a="1"/>
  <c r="AB951" i="3" s="1"/>
  <c r="AC951" i="3" s="1"/>
  <c r="AB952" i="3" a="1"/>
  <c r="AB952" i="3" s="1"/>
  <c r="AC952" i="3" s="1"/>
  <c r="AB953" i="3" a="1"/>
  <c r="AB953" i="3" s="1"/>
  <c r="AC953" i="3" s="1"/>
  <c r="AB954" i="3" a="1"/>
  <c r="AB954" i="3" s="1"/>
  <c r="AC954" i="3" s="1"/>
  <c r="AB955" i="3" a="1"/>
  <c r="AB955" i="3" s="1"/>
  <c r="AC955" i="3" s="1"/>
  <c r="AB956" i="3" a="1"/>
  <c r="AB956" i="3" s="1"/>
  <c r="AC956" i="3" s="1"/>
  <c r="AB957" i="3" a="1"/>
  <c r="AB957" i="3" s="1"/>
  <c r="AC957" i="3" s="1"/>
  <c r="AB958" i="3" a="1"/>
  <c r="AB958" i="3" s="1"/>
  <c r="AC958" i="3" s="1"/>
  <c r="AB959" i="3" a="1"/>
  <c r="AB959" i="3" s="1"/>
  <c r="AC959" i="3" s="1"/>
  <c r="AB960" i="3" a="1"/>
  <c r="AB960" i="3" s="1"/>
  <c r="AC960" i="3" s="1"/>
  <c r="AB961" i="3" a="1"/>
  <c r="AB961" i="3" s="1"/>
  <c r="AC961" i="3" s="1"/>
  <c r="AB962" i="3" a="1"/>
  <c r="AB962" i="3" s="1"/>
  <c r="AC962" i="3" s="1"/>
  <c r="AB963" i="3" a="1"/>
  <c r="AB963" i="3" s="1"/>
  <c r="AC963" i="3" s="1"/>
  <c r="AB964" i="3" a="1"/>
  <c r="AB964" i="3" s="1"/>
  <c r="AC964" i="3" s="1"/>
  <c r="AB965" i="3" a="1"/>
  <c r="AB965" i="3" s="1"/>
  <c r="AC965" i="3" s="1"/>
  <c r="AB966" i="3" a="1"/>
  <c r="AB966" i="3" s="1"/>
  <c r="AC966" i="3" s="1"/>
  <c r="AB967" i="3" a="1"/>
  <c r="AB967" i="3" s="1"/>
  <c r="AC967" i="3" s="1"/>
  <c r="AB968" i="3" a="1"/>
  <c r="AB968" i="3" s="1"/>
  <c r="AC968" i="3" s="1"/>
  <c r="AB969" i="3" a="1"/>
  <c r="AB969" i="3" s="1"/>
  <c r="AC969" i="3" s="1"/>
  <c r="AB970" i="3" a="1"/>
  <c r="AB970" i="3" s="1"/>
  <c r="AC970" i="3" s="1"/>
  <c r="AB971" i="3" a="1"/>
  <c r="AB971" i="3" s="1"/>
  <c r="AC971" i="3" s="1"/>
  <c r="AB972" i="3" a="1"/>
  <c r="AB972" i="3" s="1"/>
  <c r="AC972" i="3" s="1"/>
  <c r="AB973" i="3" a="1"/>
  <c r="AB973" i="3" s="1"/>
  <c r="AC973" i="3" s="1"/>
  <c r="AB974" i="3" a="1"/>
  <c r="AB974" i="3" s="1"/>
  <c r="AC974" i="3" s="1"/>
  <c r="AB975" i="3" a="1"/>
  <c r="AB975" i="3" s="1"/>
  <c r="AC975" i="3" s="1"/>
  <c r="AB976" i="3" a="1"/>
  <c r="AB976" i="3" s="1"/>
  <c r="AC976" i="3" s="1"/>
  <c r="AB977" i="3" a="1"/>
  <c r="AB977" i="3" s="1"/>
  <c r="AC977" i="3" s="1"/>
  <c r="AB978" i="3" a="1"/>
  <c r="AB978" i="3" s="1"/>
  <c r="AC978" i="3" s="1"/>
  <c r="AB979" i="3" a="1"/>
  <c r="AB979" i="3" s="1"/>
  <c r="AC979" i="3" s="1"/>
  <c r="AB980" i="3" a="1"/>
  <c r="AB980" i="3" s="1"/>
  <c r="AC980" i="3" s="1"/>
  <c r="AB981" i="3" a="1"/>
  <c r="AB981" i="3" s="1"/>
  <c r="AC981" i="3" s="1"/>
  <c r="AB982" i="3" a="1"/>
  <c r="AB982" i="3" s="1"/>
  <c r="AC982" i="3" s="1"/>
  <c r="AB983" i="3" a="1"/>
  <c r="AB983" i="3" s="1"/>
  <c r="AC983" i="3" s="1"/>
  <c r="AB984" i="3" a="1"/>
  <c r="AB984" i="3" s="1"/>
  <c r="AC984" i="3" s="1"/>
  <c r="AB985" i="3" a="1"/>
  <c r="AB985" i="3" s="1"/>
  <c r="AC985" i="3" s="1"/>
  <c r="AB986" i="3" a="1"/>
  <c r="AB986" i="3" s="1"/>
  <c r="AC986" i="3" s="1"/>
  <c r="AB987" i="3" a="1"/>
  <c r="AB987" i="3" s="1"/>
  <c r="AC987" i="3" s="1"/>
  <c r="AB988" i="3" a="1"/>
  <c r="AB988" i="3" s="1"/>
  <c r="AC988" i="3" s="1"/>
  <c r="AB989" i="3" a="1"/>
  <c r="AB989" i="3" s="1"/>
  <c r="AC989" i="3" s="1"/>
  <c r="AB990" i="3" a="1"/>
  <c r="AB990" i="3" s="1"/>
  <c r="AC990" i="3" s="1"/>
  <c r="AB991" i="3" a="1"/>
  <c r="AB991" i="3" s="1"/>
  <c r="AC991" i="3" s="1"/>
  <c r="AB992" i="3" a="1"/>
  <c r="AB992" i="3" s="1"/>
  <c r="AC992" i="3" s="1"/>
  <c r="AB993" i="3" a="1"/>
  <c r="AB993" i="3" s="1"/>
  <c r="AC993" i="3" s="1"/>
  <c r="AB994" i="3" a="1"/>
  <c r="AB994" i="3" s="1"/>
  <c r="AC994" i="3" s="1"/>
  <c r="AB995" i="3" a="1"/>
  <c r="AB995" i="3" s="1"/>
  <c r="AC995" i="3" s="1"/>
  <c r="AB996" i="3" a="1"/>
  <c r="AB996" i="3" s="1"/>
  <c r="AC996" i="3" s="1"/>
  <c r="AB997" i="3" a="1"/>
  <c r="AB997" i="3" s="1"/>
  <c r="AC997" i="3" s="1"/>
  <c r="AB998" i="3" a="1"/>
  <c r="AB998" i="3" s="1"/>
  <c r="AC998" i="3" s="1"/>
  <c r="AB999" i="3" a="1"/>
  <c r="AB999" i="3" s="1"/>
  <c r="AC999" i="3" s="1"/>
  <c r="AB1000" i="3" a="1"/>
  <c r="AB1000" i="3" s="1"/>
  <c r="AC1000" i="3" s="1"/>
  <c r="AB1001" i="3" a="1"/>
  <c r="AB1001" i="3" s="1"/>
  <c r="AC1001" i="3" s="1"/>
  <c r="AB3" i="3" a="1"/>
  <c r="AB3" i="3" s="1"/>
  <c r="AC3" i="3" s="1"/>
  <c r="AB2" i="3" a="1"/>
  <c r="AB2" i="3" s="1"/>
  <c r="AC2" i="3" s="1"/>
  <c r="AA2" i="3"/>
  <c r="AD2" i="3" s="1"/>
  <c r="AA3" i="3"/>
  <c r="AD3" i="3" s="1"/>
  <c r="AA4" i="3"/>
  <c r="AD4" i="3" s="1"/>
  <c r="AA5" i="3"/>
  <c r="AD5" i="3" s="1"/>
  <c r="AA6" i="3"/>
  <c r="AD6" i="3" s="1"/>
  <c r="AA7" i="3"/>
  <c r="AD7" i="3" s="1"/>
  <c r="AA9" i="3"/>
  <c r="AD9" i="3" s="1"/>
  <c r="AA10" i="3"/>
  <c r="AD10" i="3" s="1"/>
  <c r="AA11" i="3"/>
  <c r="AD11" i="3" s="1"/>
  <c r="AA12" i="3"/>
  <c r="AD12" i="3" s="1"/>
  <c r="AA13" i="3"/>
  <c r="AD13" i="3" s="1"/>
  <c r="AA14" i="3"/>
  <c r="AD14" i="3" s="1"/>
  <c r="AA15" i="3"/>
  <c r="AD15" i="3" s="1"/>
  <c r="AA16" i="3"/>
  <c r="AD16" i="3" s="1"/>
  <c r="AA17" i="3"/>
  <c r="AD17" i="3" s="1"/>
  <c r="AA18" i="3"/>
  <c r="AD18" i="3" s="1"/>
  <c r="AA19" i="3"/>
  <c r="AD19" i="3" s="1"/>
  <c r="AA20" i="3"/>
  <c r="AD20" i="3" s="1"/>
  <c r="AA21" i="3"/>
  <c r="AD21" i="3" s="1"/>
  <c r="AA22" i="3"/>
  <c r="AD22" i="3" s="1"/>
  <c r="AA23" i="3"/>
  <c r="AD23" i="3" s="1"/>
  <c r="AA24" i="3"/>
  <c r="AD24" i="3" s="1"/>
  <c r="AA25" i="3"/>
  <c r="AD25" i="3" s="1"/>
  <c r="AA26" i="3"/>
  <c r="AD26" i="3" s="1"/>
  <c r="AA27" i="3"/>
  <c r="AD27" i="3" s="1"/>
  <c r="AA28" i="3"/>
  <c r="AD28" i="3" s="1"/>
  <c r="AA29" i="3"/>
  <c r="AD29" i="3" s="1"/>
  <c r="AA30" i="3"/>
  <c r="AD30" i="3" s="1"/>
  <c r="AA31" i="3"/>
  <c r="AD31" i="3" s="1"/>
  <c r="AA32" i="3"/>
  <c r="AD32" i="3" s="1"/>
  <c r="AA33" i="3"/>
  <c r="AD33" i="3" s="1"/>
  <c r="AA34" i="3"/>
  <c r="AD34" i="3" s="1"/>
  <c r="AA35" i="3"/>
  <c r="AD35" i="3" s="1"/>
  <c r="AA36" i="3"/>
  <c r="AD36" i="3" s="1"/>
  <c r="AA37" i="3"/>
  <c r="AD37" i="3" s="1"/>
  <c r="AA38" i="3"/>
  <c r="AD38" i="3" s="1"/>
  <c r="AA39" i="3"/>
  <c r="AD39" i="3" s="1"/>
  <c r="AA40" i="3"/>
  <c r="AD40" i="3" s="1"/>
  <c r="AA41" i="3"/>
  <c r="AD41" i="3" s="1"/>
  <c r="AA42" i="3"/>
  <c r="AD42" i="3" s="1"/>
  <c r="AA43" i="3"/>
  <c r="AD43" i="3" s="1"/>
  <c r="AA44" i="3"/>
  <c r="AD44" i="3" s="1"/>
  <c r="AA45" i="3"/>
  <c r="AD45" i="3" s="1"/>
  <c r="AA46" i="3"/>
  <c r="AD46" i="3" s="1"/>
  <c r="AA47" i="3"/>
  <c r="AD47" i="3" s="1"/>
  <c r="AA48" i="3"/>
  <c r="AD48" i="3" s="1"/>
  <c r="AA49" i="3"/>
  <c r="AD49" i="3" s="1"/>
  <c r="AA50" i="3"/>
  <c r="AD50" i="3" s="1"/>
  <c r="AA51" i="3"/>
  <c r="AD51" i="3" s="1"/>
  <c r="AA52" i="3"/>
  <c r="AD52" i="3" s="1"/>
  <c r="AA53" i="3"/>
  <c r="AD53" i="3" s="1"/>
  <c r="AA54" i="3"/>
  <c r="AD54" i="3" s="1"/>
  <c r="AA55" i="3"/>
  <c r="AD55" i="3" s="1"/>
  <c r="AA56" i="3"/>
  <c r="AD56" i="3" s="1"/>
  <c r="AA57" i="3"/>
  <c r="AD57" i="3" s="1"/>
  <c r="AA58" i="3"/>
  <c r="AD58" i="3" s="1"/>
  <c r="AA59" i="3"/>
  <c r="AD59" i="3" s="1"/>
  <c r="AA60" i="3"/>
  <c r="AD60" i="3" s="1"/>
  <c r="AA61" i="3"/>
  <c r="AD61" i="3" s="1"/>
  <c r="AA62" i="3"/>
  <c r="AD62" i="3" s="1"/>
  <c r="AA63" i="3"/>
  <c r="AD63" i="3" s="1"/>
  <c r="AA64" i="3"/>
  <c r="AD64" i="3" s="1"/>
  <c r="AA65" i="3"/>
  <c r="AD65" i="3" s="1"/>
  <c r="AA66" i="3"/>
  <c r="AD66" i="3" s="1"/>
  <c r="AA67" i="3"/>
  <c r="AD67" i="3" s="1"/>
  <c r="AA68" i="3"/>
  <c r="AD68" i="3" s="1"/>
  <c r="AA69" i="3"/>
  <c r="AD69" i="3" s="1"/>
  <c r="AA70" i="3"/>
  <c r="AD70" i="3" s="1"/>
  <c r="AA71" i="3"/>
  <c r="AD71" i="3" s="1"/>
  <c r="AA72" i="3"/>
  <c r="AD72" i="3" s="1"/>
  <c r="AA73" i="3"/>
  <c r="AD73" i="3" s="1"/>
  <c r="AA74" i="3"/>
  <c r="AD74" i="3" s="1"/>
  <c r="AA75" i="3"/>
  <c r="AD75" i="3" s="1"/>
  <c r="AA76" i="3"/>
  <c r="AD76" i="3" s="1"/>
  <c r="AA77" i="3"/>
  <c r="AD77" i="3" s="1"/>
  <c r="AA78" i="3"/>
  <c r="AD78" i="3" s="1"/>
  <c r="AA79" i="3"/>
  <c r="AD79" i="3" s="1"/>
  <c r="AA80" i="3"/>
  <c r="AD80" i="3" s="1"/>
  <c r="AA81" i="3"/>
  <c r="AD81" i="3" s="1"/>
  <c r="AA82" i="3"/>
  <c r="AD82" i="3" s="1"/>
  <c r="AA83" i="3"/>
  <c r="AD83" i="3" s="1"/>
  <c r="AA84" i="3"/>
  <c r="AD84" i="3" s="1"/>
  <c r="AA85" i="3"/>
  <c r="AD85" i="3" s="1"/>
  <c r="AA86" i="3"/>
  <c r="AD86" i="3" s="1"/>
  <c r="AA87" i="3"/>
  <c r="AD87" i="3" s="1"/>
  <c r="AA88" i="3"/>
  <c r="AD88" i="3" s="1"/>
  <c r="AA89" i="3"/>
  <c r="AD89" i="3" s="1"/>
  <c r="AA90" i="3"/>
  <c r="AD90" i="3" s="1"/>
  <c r="AA91" i="3"/>
  <c r="AD91" i="3" s="1"/>
  <c r="AA92" i="3"/>
  <c r="AD92" i="3" s="1"/>
  <c r="AA93" i="3"/>
  <c r="AD93" i="3" s="1"/>
  <c r="AA94" i="3"/>
  <c r="AD94" i="3" s="1"/>
  <c r="AA95" i="3"/>
  <c r="AD95" i="3" s="1"/>
  <c r="AA96" i="3"/>
  <c r="AD96" i="3" s="1"/>
  <c r="AA97" i="3"/>
  <c r="AD97" i="3" s="1"/>
  <c r="AA98" i="3"/>
  <c r="AD98" i="3" s="1"/>
  <c r="AA99" i="3"/>
  <c r="AD99" i="3" s="1"/>
  <c r="AA100" i="3"/>
  <c r="AD100" i="3" s="1"/>
  <c r="AA101" i="3"/>
  <c r="AD101" i="3" s="1"/>
  <c r="AA102" i="3"/>
  <c r="AD102" i="3" s="1"/>
  <c r="AA103" i="3"/>
  <c r="AD103" i="3" s="1"/>
  <c r="AA104" i="3"/>
  <c r="AD104" i="3" s="1"/>
  <c r="AA105" i="3"/>
  <c r="AD105" i="3" s="1"/>
  <c r="AA106" i="3"/>
  <c r="AD106" i="3" s="1"/>
  <c r="AA107" i="3"/>
  <c r="AD107" i="3" s="1"/>
  <c r="AA108" i="3"/>
  <c r="AD108" i="3" s="1"/>
  <c r="AA109" i="3"/>
  <c r="AD109" i="3" s="1"/>
  <c r="AA110" i="3"/>
  <c r="AD110" i="3" s="1"/>
  <c r="AA111" i="3"/>
  <c r="AD111" i="3" s="1"/>
  <c r="AA112" i="3"/>
  <c r="AD112" i="3" s="1"/>
  <c r="AA113" i="3"/>
  <c r="AD113" i="3" s="1"/>
  <c r="AA114" i="3"/>
  <c r="AD114" i="3" s="1"/>
  <c r="AA115" i="3"/>
  <c r="AD115" i="3" s="1"/>
  <c r="AA116" i="3"/>
  <c r="AD116" i="3" s="1"/>
  <c r="AA117" i="3"/>
  <c r="AD117" i="3" s="1"/>
  <c r="AA118" i="3"/>
  <c r="AD118" i="3" s="1"/>
  <c r="AA119" i="3"/>
  <c r="AD119" i="3" s="1"/>
  <c r="AA120" i="3"/>
  <c r="AD120" i="3" s="1"/>
  <c r="AA121" i="3"/>
  <c r="AD121" i="3" s="1"/>
  <c r="AA122" i="3"/>
  <c r="AD122" i="3" s="1"/>
  <c r="AA123" i="3"/>
  <c r="AD123" i="3" s="1"/>
  <c r="AA124" i="3"/>
  <c r="AD124" i="3" s="1"/>
  <c r="AA125" i="3"/>
  <c r="AD125" i="3" s="1"/>
  <c r="AA126" i="3"/>
  <c r="AD126" i="3" s="1"/>
  <c r="AA127" i="3"/>
  <c r="AD127" i="3" s="1"/>
  <c r="AA128" i="3"/>
  <c r="AD128" i="3" s="1"/>
  <c r="AA129" i="3"/>
  <c r="AD129" i="3" s="1"/>
  <c r="AA130" i="3"/>
  <c r="AD130" i="3" s="1"/>
  <c r="AA131" i="3"/>
  <c r="AD131" i="3" s="1"/>
  <c r="AA132" i="3"/>
  <c r="AD132" i="3" s="1"/>
  <c r="AA133" i="3"/>
  <c r="AD133" i="3" s="1"/>
  <c r="AA134" i="3"/>
  <c r="AD134" i="3" s="1"/>
  <c r="AA135" i="3"/>
  <c r="AD135" i="3" s="1"/>
  <c r="AA136" i="3"/>
  <c r="AD136" i="3" s="1"/>
  <c r="AA137" i="3"/>
  <c r="AD137" i="3" s="1"/>
  <c r="AA138" i="3"/>
  <c r="AD138" i="3" s="1"/>
  <c r="AA139" i="3"/>
  <c r="AD139" i="3" s="1"/>
  <c r="AA140" i="3"/>
  <c r="AD140" i="3" s="1"/>
  <c r="AA141" i="3"/>
  <c r="AD141" i="3" s="1"/>
  <c r="AA142" i="3"/>
  <c r="AD142" i="3" s="1"/>
  <c r="AA143" i="3"/>
  <c r="AD143" i="3" s="1"/>
  <c r="AA144" i="3"/>
  <c r="AD144" i="3" s="1"/>
  <c r="AA145" i="3"/>
  <c r="AD145" i="3" s="1"/>
  <c r="AA146" i="3"/>
  <c r="AD146" i="3" s="1"/>
  <c r="AA147" i="3"/>
  <c r="AD147" i="3" s="1"/>
  <c r="AA148" i="3"/>
  <c r="AD148" i="3" s="1"/>
  <c r="AA149" i="3"/>
  <c r="AD149" i="3" s="1"/>
  <c r="AA150" i="3"/>
  <c r="AD150" i="3" s="1"/>
  <c r="AA151" i="3"/>
  <c r="AD151" i="3" s="1"/>
  <c r="AA152" i="3"/>
  <c r="AD152" i="3" s="1"/>
  <c r="AA153" i="3"/>
  <c r="AD153" i="3" s="1"/>
  <c r="AA154" i="3"/>
  <c r="AD154" i="3" s="1"/>
  <c r="AA155" i="3"/>
  <c r="AD155" i="3" s="1"/>
  <c r="AA156" i="3"/>
  <c r="AD156" i="3" s="1"/>
  <c r="AA157" i="3"/>
  <c r="AD157" i="3" s="1"/>
  <c r="AA158" i="3"/>
  <c r="AD158" i="3" s="1"/>
  <c r="AA159" i="3"/>
  <c r="AD159" i="3" s="1"/>
  <c r="AA160" i="3"/>
  <c r="AD160" i="3" s="1"/>
  <c r="AA161" i="3"/>
  <c r="AD161" i="3" s="1"/>
  <c r="AA162" i="3"/>
  <c r="AD162" i="3" s="1"/>
  <c r="AA163" i="3"/>
  <c r="AD163" i="3" s="1"/>
  <c r="AA164" i="3"/>
  <c r="AD164" i="3" s="1"/>
  <c r="AA165" i="3"/>
  <c r="AD165" i="3" s="1"/>
  <c r="AA166" i="3"/>
  <c r="AD166" i="3" s="1"/>
  <c r="AA167" i="3"/>
  <c r="AD167" i="3" s="1"/>
  <c r="AA168" i="3"/>
  <c r="AD168" i="3" s="1"/>
  <c r="AA169" i="3"/>
  <c r="AD169" i="3" s="1"/>
  <c r="AA170" i="3"/>
  <c r="AD170" i="3" s="1"/>
  <c r="AA171" i="3"/>
  <c r="AD171" i="3" s="1"/>
  <c r="AA172" i="3"/>
  <c r="AD172" i="3" s="1"/>
  <c r="AA173" i="3"/>
  <c r="AD173" i="3" s="1"/>
  <c r="AA174" i="3"/>
  <c r="AD174" i="3" s="1"/>
  <c r="AA175" i="3"/>
  <c r="AD175" i="3" s="1"/>
  <c r="AA176" i="3"/>
  <c r="AD176" i="3" s="1"/>
  <c r="AA177" i="3"/>
  <c r="AD177" i="3" s="1"/>
  <c r="AA178" i="3"/>
  <c r="AD178" i="3" s="1"/>
  <c r="AA179" i="3"/>
  <c r="AD179" i="3" s="1"/>
  <c r="AA180" i="3"/>
  <c r="AD180" i="3" s="1"/>
  <c r="AA181" i="3"/>
  <c r="AD181" i="3" s="1"/>
  <c r="AA182" i="3"/>
  <c r="AD182" i="3" s="1"/>
  <c r="AA183" i="3"/>
  <c r="AD183" i="3" s="1"/>
  <c r="AA184" i="3"/>
  <c r="AD184" i="3" s="1"/>
  <c r="AA185" i="3"/>
  <c r="AD185" i="3" s="1"/>
  <c r="AA186" i="3"/>
  <c r="AD186" i="3" s="1"/>
  <c r="AA187" i="3"/>
  <c r="AD187" i="3" s="1"/>
  <c r="AA188" i="3"/>
  <c r="AD188" i="3" s="1"/>
  <c r="AA189" i="3"/>
  <c r="AD189" i="3" s="1"/>
  <c r="AA190" i="3"/>
  <c r="AD190" i="3" s="1"/>
  <c r="AA191" i="3"/>
  <c r="AD191" i="3" s="1"/>
  <c r="AA192" i="3"/>
  <c r="AD192" i="3" s="1"/>
  <c r="AA193" i="3"/>
  <c r="AD193" i="3" s="1"/>
  <c r="AA194" i="3"/>
  <c r="AD194" i="3" s="1"/>
  <c r="AA195" i="3"/>
  <c r="AD195" i="3" s="1"/>
  <c r="AA196" i="3"/>
  <c r="AD196" i="3" s="1"/>
  <c r="AA197" i="3"/>
  <c r="AD197" i="3" s="1"/>
  <c r="AA198" i="3"/>
  <c r="AD198" i="3" s="1"/>
  <c r="AA199" i="3"/>
  <c r="AD199" i="3" s="1"/>
  <c r="AA200" i="3"/>
  <c r="AD200" i="3" s="1"/>
  <c r="AA201" i="3"/>
  <c r="AD201" i="3" s="1"/>
  <c r="AA202" i="3"/>
  <c r="AD202" i="3" s="1"/>
  <c r="AA203" i="3"/>
  <c r="AD203" i="3" s="1"/>
  <c r="AA204" i="3"/>
  <c r="AD204" i="3" s="1"/>
  <c r="AA205" i="3"/>
  <c r="AD205" i="3" s="1"/>
  <c r="AA206" i="3"/>
  <c r="AD206" i="3" s="1"/>
  <c r="AA207" i="3"/>
  <c r="AD207" i="3" s="1"/>
  <c r="AA208" i="3"/>
  <c r="AD208" i="3" s="1"/>
  <c r="AA209" i="3"/>
  <c r="AD209" i="3" s="1"/>
  <c r="AA210" i="3"/>
  <c r="AD210" i="3" s="1"/>
  <c r="AA211" i="3"/>
  <c r="AD211" i="3" s="1"/>
  <c r="AA212" i="3"/>
  <c r="AD212" i="3" s="1"/>
  <c r="AA213" i="3"/>
  <c r="AD213" i="3" s="1"/>
  <c r="AA214" i="3"/>
  <c r="AD214" i="3" s="1"/>
  <c r="AA215" i="3"/>
  <c r="AD215" i="3" s="1"/>
  <c r="AA216" i="3"/>
  <c r="AD216" i="3" s="1"/>
  <c r="AA217" i="3"/>
  <c r="AD217" i="3" s="1"/>
  <c r="AA218" i="3"/>
  <c r="AD218" i="3" s="1"/>
  <c r="AA219" i="3"/>
  <c r="AD219" i="3" s="1"/>
  <c r="AA220" i="3"/>
  <c r="AD220" i="3" s="1"/>
  <c r="AA221" i="3"/>
  <c r="AD221" i="3" s="1"/>
  <c r="AA222" i="3"/>
  <c r="AD222" i="3" s="1"/>
  <c r="AA223" i="3"/>
  <c r="AD223" i="3" s="1"/>
  <c r="AA224" i="3"/>
  <c r="AD224" i="3" s="1"/>
  <c r="AA225" i="3"/>
  <c r="AD225" i="3" s="1"/>
  <c r="AA226" i="3"/>
  <c r="AD226" i="3" s="1"/>
  <c r="AA227" i="3"/>
  <c r="AD227" i="3" s="1"/>
  <c r="AA228" i="3"/>
  <c r="AD228" i="3" s="1"/>
  <c r="AA229" i="3"/>
  <c r="AD229" i="3" s="1"/>
  <c r="AA230" i="3"/>
  <c r="AD230" i="3" s="1"/>
  <c r="AA231" i="3"/>
  <c r="AD231" i="3" s="1"/>
  <c r="AA232" i="3"/>
  <c r="AD232" i="3" s="1"/>
  <c r="AA233" i="3"/>
  <c r="AD233" i="3" s="1"/>
  <c r="AA234" i="3"/>
  <c r="AD234" i="3" s="1"/>
  <c r="AA235" i="3"/>
  <c r="AD235" i="3" s="1"/>
  <c r="AA236" i="3"/>
  <c r="AD236" i="3" s="1"/>
  <c r="AA237" i="3"/>
  <c r="AD237" i="3" s="1"/>
  <c r="AA238" i="3"/>
  <c r="AD238" i="3" s="1"/>
  <c r="AA239" i="3"/>
  <c r="AD239" i="3" s="1"/>
  <c r="AA240" i="3"/>
  <c r="AD240" i="3" s="1"/>
  <c r="AA241" i="3"/>
  <c r="AD241" i="3" s="1"/>
  <c r="AA242" i="3"/>
  <c r="AD242" i="3" s="1"/>
  <c r="AA243" i="3"/>
  <c r="AD243" i="3" s="1"/>
  <c r="AA244" i="3"/>
  <c r="AD244" i="3" s="1"/>
  <c r="AA245" i="3"/>
  <c r="AD245" i="3" s="1"/>
  <c r="AA246" i="3"/>
  <c r="AD246" i="3" s="1"/>
  <c r="AA247" i="3"/>
  <c r="AD247" i="3" s="1"/>
  <c r="AA248" i="3"/>
  <c r="AD248" i="3" s="1"/>
  <c r="AA249" i="3"/>
  <c r="AD249" i="3" s="1"/>
  <c r="AA250" i="3"/>
  <c r="AD250" i="3" s="1"/>
  <c r="AA251" i="3"/>
  <c r="AD251" i="3" s="1"/>
  <c r="AA252" i="3"/>
  <c r="AD252" i="3" s="1"/>
  <c r="AA253" i="3"/>
  <c r="AD253" i="3" s="1"/>
  <c r="AA254" i="3"/>
  <c r="AD254" i="3" s="1"/>
  <c r="AA255" i="3"/>
  <c r="AD255" i="3" s="1"/>
  <c r="AA256" i="3"/>
  <c r="AD256" i="3" s="1"/>
  <c r="AA257" i="3"/>
  <c r="AD257" i="3" s="1"/>
  <c r="AA258" i="3"/>
  <c r="AD258" i="3" s="1"/>
  <c r="AA259" i="3"/>
  <c r="AD259" i="3" s="1"/>
  <c r="AA260" i="3"/>
  <c r="AD260" i="3" s="1"/>
  <c r="AA261" i="3"/>
  <c r="AD261" i="3" s="1"/>
  <c r="AA262" i="3"/>
  <c r="AD262" i="3" s="1"/>
  <c r="AA263" i="3"/>
  <c r="AD263" i="3" s="1"/>
  <c r="AA264" i="3"/>
  <c r="AD264" i="3" s="1"/>
  <c r="AA265" i="3"/>
  <c r="AD265" i="3" s="1"/>
  <c r="AA266" i="3"/>
  <c r="AD266" i="3" s="1"/>
  <c r="AA267" i="3"/>
  <c r="AD267" i="3" s="1"/>
  <c r="AA268" i="3"/>
  <c r="AD268" i="3" s="1"/>
  <c r="AA269" i="3"/>
  <c r="AD269" i="3" s="1"/>
  <c r="AA270" i="3"/>
  <c r="AD270" i="3" s="1"/>
  <c r="AA271" i="3"/>
  <c r="AD271" i="3" s="1"/>
  <c r="AA272" i="3"/>
  <c r="AD272" i="3" s="1"/>
  <c r="AA273" i="3"/>
  <c r="AD273" i="3" s="1"/>
  <c r="AA274" i="3"/>
  <c r="AD274" i="3" s="1"/>
  <c r="AA275" i="3"/>
  <c r="AD275" i="3" s="1"/>
  <c r="AA276" i="3"/>
  <c r="AD276" i="3" s="1"/>
  <c r="AA277" i="3"/>
  <c r="AD277" i="3" s="1"/>
  <c r="AA278" i="3"/>
  <c r="AD278" i="3" s="1"/>
  <c r="AA279" i="3"/>
  <c r="AD279" i="3" s="1"/>
  <c r="AA280" i="3"/>
  <c r="AD280" i="3" s="1"/>
  <c r="AA281" i="3"/>
  <c r="AD281" i="3" s="1"/>
  <c r="AA282" i="3"/>
  <c r="AD282" i="3" s="1"/>
  <c r="AA283" i="3"/>
  <c r="AD283" i="3" s="1"/>
  <c r="AA284" i="3"/>
  <c r="AD284" i="3" s="1"/>
  <c r="AA285" i="3"/>
  <c r="AD285" i="3" s="1"/>
  <c r="AA286" i="3"/>
  <c r="AD286" i="3" s="1"/>
  <c r="AA287" i="3"/>
  <c r="AD287" i="3" s="1"/>
  <c r="AA288" i="3"/>
  <c r="AD288" i="3" s="1"/>
  <c r="AA289" i="3"/>
  <c r="AD289" i="3" s="1"/>
  <c r="AA290" i="3"/>
  <c r="AD290" i="3" s="1"/>
  <c r="AA291" i="3"/>
  <c r="AD291" i="3" s="1"/>
  <c r="AA292" i="3"/>
  <c r="AD292" i="3" s="1"/>
  <c r="AA293" i="3"/>
  <c r="AD293" i="3" s="1"/>
  <c r="AA294" i="3"/>
  <c r="AD294" i="3" s="1"/>
  <c r="AA295" i="3"/>
  <c r="AD295" i="3" s="1"/>
  <c r="AA296" i="3"/>
  <c r="AD296" i="3" s="1"/>
  <c r="AA297" i="3"/>
  <c r="AD297" i="3" s="1"/>
  <c r="AA298" i="3"/>
  <c r="AD298" i="3" s="1"/>
  <c r="AA299" i="3"/>
  <c r="AD299" i="3" s="1"/>
  <c r="AA300" i="3"/>
  <c r="AD300" i="3" s="1"/>
  <c r="AA301" i="3"/>
  <c r="AD301" i="3" s="1"/>
  <c r="AA302" i="3"/>
  <c r="AD302" i="3" s="1"/>
  <c r="AA303" i="3"/>
  <c r="AD303" i="3" s="1"/>
  <c r="AA304" i="3"/>
  <c r="AD304" i="3" s="1"/>
  <c r="AA305" i="3"/>
  <c r="AD305" i="3" s="1"/>
  <c r="AA306" i="3"/>
  <c r="AD306" i="3" s="1"/>
  <c r="AA307" i="3"/>
  <c r="AD307" i="3" s="1"/>
  <c r="AA308" i="3"/>
  <c r="AD308" i="3" s="1"/>
  <c r="AA309" i="3"/>
  <c r="AD309" i="3" s="1"/>
  <c r="AA310" i="3"/>
  <c r="AD310" i="3" s="1"/>
  <c r="AA311" i="3"/>
  <c r="AD311" i="3" s="1"/>
  <c r="AA312" i="3"/>
  <c r="AD312" i="3" s="1"/>
  <c r="AA313" i="3"/>
  <c r="AD313" i="3" s="1"/>
  <c r="AA314" i="3"/>
  <c r="AD314" i="3" s="1"/>
  <c r="AA315" i="3"/>
  <c r="AD315" i="3" s="1"/>
  <c r="AA316" i="3"/>
  <c r="AD316" i="3" s="1"/>
  <c r="AA317" i="3"/>
  <c r="AD317" i="3" s="1"/>
  <c r="AA318" i="3"/>
  <c r="AD318" i="3" s="1"/>
  <c r="AA319" i="3"/>
  <c r="AD319" i="3" s="1"/>
  <c r="AA320" i="3"/>
  <c r="AD320" i="3" s="1"/>
  <c r="AA321" i="3"/>
  <c r="AD321" i="3" s="1"/>
  <c r="AA322" i="3"/>
  <c r="AD322" i="3" s="1"/>
  <c r="AA323" i="3"/>
  <c r="AD323" i="3" s="1"/>
  <c r="AA324" i="3"/>
  <c r="AD324" i="3" s="1"/>
  <c r="AA325" i="3"/>
  <c r="AD325" i="3" s="1"/>
  <c r="AA326" i="3"/>
  <c r="AD326" i="3" s="1"/>
  <c r="AA327" i="3"/>
  <c r="AD327" i="3" s="1"/>
  <c r="AA328" i="3"/>
  <c r="AD328" i="3" s="1"/>
  <c r="AA329" i="3"/>
  <c r="AD329" i="3" s="1"/>
  <c r="AA330" i="3"/>
  <c r="AD330" i="3" s="1"/>
  <c r="AA331" i="3"/>
  <c r="AD331" i="3" s="1"/>
  <c r="AA332" i="3"/>
  <c r="AD332" i="3" s="1"/>
  <c r="AA333" i="3"/>
  <c r="AD333" i="3" s="1"/>
  <c r="AA334" i="3"/>
  <c r="AD334" i="3" s="1"/>
  <c r="AA335" i="3"/>
  <c r="AD335" i="3" s="1"/>
  <c r="AA336" i="3"/>
  <c r="AD336" i="3" s="1"/>
  <c r="AA337" i="3"/>
  <c r="AD337" i="3" s="1"/>
  <c r="AA338" i="3"/>
  <c r="AD338" i="3" s="1"/>
  <c r="AA339" i="3"/>
  <c r="AD339" i="3" s="1"/>
  <c r="AA340" i="3"/>
  <c r="AD340" i="3" s="1"/>
  <c r="AA341" i="3"/>
  <c r="AD341" i="3" s="1"/>
  <c r="AA342" i="3"/>
  <c r="AD342" i="3" s="1"/>
  <c r="AA343" i="3"/>
  <c r="AD343" i="3" s="1"/>
  <c r="AA344" i="3"/>
  <c r="AD344" i="3" s="1"/>
  <c r="AA345" i="3"/>
  <c r="AD345" i="3" s="1"/>
  <c r="AA346" i="3"/>
  <c r="AD346" i="3" s="1"/>
  <c r="AA347" i="3"/>
  <c r="AD347" i="3" s="1"/>
  <c r="AA348" i="3"/>
  <c r="AD348" i="3" s="1"/>
  <c r="AA349" i="3"/>
  <c r="AD349" i="3" s="1"/>
  <c r="AA350" i="3"/>
  <c r="AD350" i="3" s="1"/>
  <c r="AA351" i="3"/>
  <c r="AD351" i="3" s="1"/>
  <c r="AA352" i="3"/>
  <c r="AD352" i="3" s="1"/>
  <c r="AA353" i="3"/>
  <c r="AD353" i="3" s="1"/>
  <c r="AA354" i="3"/>
  <c r="AD354" i="3" s="1"/>
  <c r="AA355" i="3"/>
  <c r="AD355" i="3" s="1"/>
  <c r="AA356" i="3"/>
  <c r="AD356" i="3" s="1"/>
  <c r="AA357" i="3"/>
  <c r="AD357" i="3" s="1"/>
  <c r="AA358" i="3"/>
  <c r="AD358" i="3" s="1"/>
  <c r="AA359" i="3"/>
  <c r="AD359" i="3" s="1"/>
  <c r="AA360" i="3"/>
  <c r="AD360" i="3" s="1"/>
  <c r="AA361" i="3"/>
  <c r="AD361" i="3" s="1"/>
  <c r="AA362" i="3"/>
  <c r="AD362" i="3" s="1"/>
  <c r="AA363" i="3"/>
  <c r="AD363" i="3" s="1"/>
  <c r="AA364" i="3"/>
  <c r="AD364" i="3" s="1"/>
  <c r="AA365" i="3"/>
  <c r="AD365" i="3" s="1"/>
  <c r="AA366" i="3"/>
  <c r="AD366" i="3" s="1"/>
  <c r="AA367" i="3"/>
  <c r="AD367" i="3" s="1"/>
  <c r="AA368" i="3"/>
  <c r="AD368" i="3" s="1"/>
  <c r="AA369" i="3"/>
  <c r="AD369" i="3" s="1"/>
  <c r="AA370" i="3"/>
  <c r="AD370" i="3" s="1"/>
  <c r="AA371" i="3"/>
  <c r="AD371" i="3" s="1"/>
  <c r="AA372" i="3"/>
  <c r="AD372" i="3" s="1"/>
  <c r="AA373" i="3"/>
  <c r="AD373" i="3" s="1"/>
  <c r="AA374" i="3"/>
  <c r="AD374" i="3" s="1"/>
  <c r="AA375" i="3"/>
  <c r="AD375" i="3" s="1"/>
  <c r="AA376" i="3"/>
  <c r="AD376" i="3" s="1"/>
  <c r="AA377" i="3"/>
  <c r="AD377" i="3" s="1"/>
  <c r="AA378" i="3"/>
  <c r="AD378" i="3" s="1"/>
  <c r="AA379" i="3"/>
  <c r="AD379" i="3" s="1"/>
  <c r="AA380" i="3"/>
  <c r="AD380" i="3" s="1"/>
  <c r="AA381" i="3"/>
  <c r="AD381" i="3" s="1"/>
  <c r="AA382" i="3"/>
  <c r="AD382" i="3" s="1"/>
  <c r="AA383" i="3"/>
  <c r="AD383" i="3" s="1"/>
  <c r="AA384" i="3"/>
  <c r="AD384" i="3" s="1"/>
  <c r="AA385" i="3"/>
  <c r="AD385" i="3" s="1"/>
  <c r="AA386" i="3"/>
  <c r="AD386" i="3" s="1"/>
  <c r="AA387" i="3"/>
  <c r="AD387" i="3" s="1"/>
  <c r="AA388" i="3"/>
  <c r="AD388" i="3" s="1"/>
  <c r="AA389" i="3"/>
  <c r="AD389" i="3" s="1"/>
  <c r="AA390" i="3"/>
  <c r="AD390" i="3" s="1"/>
  <c r="AA391" i="3"/>
  <c r="AD391" i="3" s="1"/>
  <c r="AA392" i="3"/>
  <c r="AD392" i="3" s="1"/>
  <c r="AA393" i="3"/>
  <c r="AD393" i="3" s="1"/>
  <c r="AA394" i="3"/>
  <c r="AD394" i="3" s="1"/>
  <c r="AA395" i="3"/>
  <c r="AD395" i="3" s="1"/>
  <c r="AA396" i="3"/>
  <c r="AD396" i="3" s="1"/>
  <c r="AA397" i="3"/>
  <c r="AD397" i="3" s="1"/>
  <c r="AA398" i="3"/>
  <c r="AD398" i="3" s="1"/>
  <c r="AA399" i="3"/>
  <c r="AD399" i="3" s="1"/>
  <c r="AA400" i="3"/>
  <c r="AD400" i="3" s="1"/>
  <c r="AA401" i="3"/>
  <c r="AD401" i="3" s="1"/>
  <c r="AA402" i="3"/>
  <c r="AD402" i="3" s="1"/>
  <c r="AA403" i="3"/>
  <c r="AD403" i="3" s="1"/>
  <c r="AA404" i="3"/>
  <c r="AD404" i="3" s="1"/>
  <c r="AA405" i="3"/>
  <c r="AD405" i="3" s="1"/>
  <c r="AA406" i="3"/>
  <c r="AD406" i="3" s="1"/>
  <c r="AA407" i="3"/>
  <c r="AD407" i="3" s="1"/>
  <c r="AA408" i="3"/>
  <c r="AD408" i="3" s="1"/>
  <c r="AA409" i="3"/>
  <c r="AD409" i="3" s="1"/>
  <c r="AA410" i="3"/>
  <c r="AD410" i="3" s="1"/>
  <c r="AA411" i="3"/>
  <c r="AD411" i="3" s="1"/>
  <c r="AA412" i="3"/>
  <c r="AD412" i="3" s="1"/>
  <c r="AA413" i="3"/>
  <c r="AD413" i="3" s="1"/>
  <c r="AA414" i="3"/>
  <c r="AD414" i="3" s="1"/>
  <c r="AA415" i="3"/>
  <c r="AD415" i="3" s="1"/>
  <c r="AA416" i="3"/>
  <c r="AD416" i="3" s="1"/>
  <c r="AA417" i="3"/>
  <c r="AD417" i="3" s="1"/>
  <c r="AA418" i="3"/>
  <c r="AD418" i="3" s="1"/>
  <c r="AA419" i="3"/>
  <c r="AD419" i="3" s="1"/>
  <c r="AA420" i="3"/>
  <c r="AD420" i="3" s="1"/>
  <c r="AA421" i="3"/>
  <c r="AD421" i="3" s="1"/>
  <c r="AA422" i="3"/>
  <c r="AD422" i="3" s="1"/>
  <c r="AA423" i="3"/>
  <c r="AD423" i="3" s="1"/>
  <c r="AA424" i="3"/>
  <c r="AD424" i="3" s="1"/>
  <c r="AA425" i="3"/>
  <c r="AD425" i="3" s="1"/>
  <c r="AA426" i="3"/>
  <c r="AD426" i="3" s="1"/>
  <c r="AA427" i="3"/>
  <c r="AD427" i="3" s="1"/>
  <c r="AA428" i="3"/>
  <c r="AD428" i="3" s="1"/>
  <c r="AA429" i="3"/>
  <c r="AD429" i="3" s="1"/>
  <c r="AA430" i="3"/>
  <c r="AD430" i="3" s="1"/>
  <c r="AA431" i="3"/>
  <c r="AD431" i="3" s="1"/>
  <c r="AA432" i="3"/>
  <c r="AD432" i="3" s="1"/>
  <c r="AA433" i="3"/>
  <c r="AD433" i="3" s="1"/>
  <c r="AA434" i="3"/>
  <c r="AD434" i="3" s="1"/>
  <c r="AA435" i="3"/>
  <c r="AD435" i="3" s="1"/>
  <c r="AA436" i="3"/>
  <c r="AD436" i="3" s="1"/>
  <c r="AA437" i="3"/>
  <c r="AD437" i="3" s="1"/>
  <c r="AA438" i="3"/>
  <c r="AD438" i="3" s="1"/>
  <c r="AA439" i="3"/>
  <c r="AD439" i="3" s="1"/>
  <c r="AA440" i="3"/>
  <c r="AD440" i="3" s="1"/>
  <c r="AA441" i="3"/>
  <c r="AD441" i="3" s="1"/>
  <c r="AA442" i="3"/>
  <c r="AD442" i="3" s="1"/>
  <c r="AA443" i="3"/>
  <c r="AD443" i="3" s="1"/>
  <c r="AA444" i="3"/>
  <c r="AD444" i="3" s="1"/>
  <c r="AA445" i="3"/>
  <c r="AD445" i="3" s="1"/>
  <c r="AA446" i="3"/>
  <c r="AD446" i="3" s="1"/>
  <c r="AA447" i="3"/>
  <c r="AD447" i="3" s="1"/>
  <c r="AA448" i="3"/>
  <c r="AD448" i="3" s="1"/>
  <c r="AA449" i="3"/>
  <c r="AD449" i="3" s="1"/>
  <c r="AA450" i="3"/>
  <c r="AD450" i="3" s="1"/>
  <c r="AA451" i="3"/>
  <c r="AD451" i="3" s="1"/>
  <c r="AA452" i="3"/>
  <c r="AD452" i="3" s="1"/>
  <c r="AA453" i="3"/>
  <c r="AD453" i="3" s="1"/>
  <c r="AA454" i="3"/>
  <c r="AD454" i="3" s="1"/>
  <c r="AA455" i="3"/>
  <c r="AD455" i="3" s="1"/>
  <c r="AA456" i="3"/>
  <c r="AD456" i="3" s="1"/>
  <c r="AA457" i="3"/>
  <c r="AD457" i="3" s="1"/>
  <c r="AA458" i="3"/>
  <c r="AD458" i="3" s="1"/>
  <c r="AA459" i="3"/>
  <c r="AD459" i="3" s="1"/>
  <c r="AA460" i="3"/>
  <c r="AD460" i="3" s="1"/>
  <c r="AA461" i="3"/>
  <c r="AD461" i="3" s="1"/>
  <c r="AA462" i="3"/>
  <c r="AD462" i="3" s="1"/>
  <c r="AA463" i="3"/>
  <c r="AD463" i="3" s="1"/>
  <c r="AA464" i="3"/>
  <c r="AD464" i="3" s="1"/>
  <c r="AA465" i="3"/>
  <c r="AD465" i="3" s="1"/>
  <c r="AA466" i="3"/>
  <c r="AD466" i="3" s="1"/>
  <c r="AA467" i="3"/>
  <c r="AD467" i="3" s="1"/>
  <c r="AA468" i="3"/>
  <c r="AD468" i="3" s="1"/>
  <c r="AA469" i="3"/>
  <c r="AD469" i="3" s="1"/>
  <c r="AA470" i="3"/>
  <c r="AD470" i="3" s="1"/>
  <c r="AA471" i="3"/>
  <c r="AD471" i="3" s="1"/>
  <c r="AA472" i="3"/>
  <c r="AD472" i="3" s="1"/>
  <c r="AA473" i="3"/>
  <c r="AD473" i="3" s="1"/>
  <c r="AA474" i="3"/>
  <c r="AD474" i="3" s="1"/>
  <c r="AA475" i="3"/>
  <c r="AD475" i="3" s="1"/>
  <c r="AA476" i="3"/>
  <c r="AD476" i="3" s="1"/>
  <c r="AA477" i="3"/>
  <c r="AD477" i="3" s="1"/>
  <c r="AA478" i="3"/>
  <c r="AD478" i="3" s="1"/>
  <c r="AA479" i="3"/>
  <c r="AD479" i="3" s="1"/>
  <c r="AA480" i="3"/>
  <c r="AD480" i="3" s="1"/>
  <c r="AA481" i="3"/>
  <c r="AD481" i="3" s="1"/>
  <c r="AA482" i="3"/>
  <c r="AD482" i="3" s="1"/>
  <c r="AA483" i="3"/>
  <c r="AD483" i="3" s="1"/>
  <c r="AA484" i="3"/>
  <c r="AD484" i="3" s="1"/>
  <c r="AA485" i="3"/>
  <c r="AD485" i="3" s="1"/>
  <c r="AA486" i="3"/>
  <c r="AD486" i="3" s="1"/>
  <c r="AA487" i="3"/>
  <c r="AD487" i="3" s="1"/>
  <c r="AA488" i="3"/>
  <c r="AD488" i="3" s="1"/>
  <c r="AA489" i="3"/>
  <c r="AD489" i="3" s="1"/>
  <c r="AA490" i="3"/>
  <c r="AD490" i="3" s="1"/>
  <c r="AA491" i="3"/>
  <c r="AD491" i="3" s="1"/>
  <c r="AA492" i="3"/>
  <c r="AD492" i="3" s="1"/>
  <c r="AA493" i="3"/>
  <c r="AD493" i="3" s="1"/>
  <c r="AA494" i="3"/>
  <c r="AD494" i="3" s="1"/>
  <c r="AA495" i="3"/>
  <c r="AD495" i="3" s="1"/>
  <c r="AA496" i="3"/>
  <c r="AD496" i="3" s="1"/>
  <c r="AA497" i="3"/>
  <c r="AD497" i="3" s="1"/>
  <c r="AA498" i="3"/>
  <c r="AD498" i="3" s="1"/>
  <c r="AA499" i="3"/>
  <c r="AD499" i="3" s="1"/>
  <c r="AA500" i="3"/>
  <c r="AD500" i="3" s="1"/>
  <c r="AA501" i="3"/>
  <c r="AD501" i="3" s="1"/>
  <c r="AA502" i="3"/>
  <c r="AD502" i="3" s="1"/>
  <c r="AA503" i="3"/>
  <c r="AD503" i="3" s="1"/>
  <c r="AA504" i="3"/>
  <c r="AD504" i="3" s="1"/>
  <c r="AA505" i="3"/>
  <c r="AD505" i="3" s="1"/>
  <c r="AA506" i="3"/>
  <c r="AD506" i="3" s="1"/>
  <c r="AA507" i="3"/>
  <c r="AD507" i="3" s="1"/>
  <c r="AA508" i="3"/>
  <c r="AD508" i="3" s="1"/>
  <c r="AA509" i="3"/>
  <c r="AD509" i="3" s="1"/>
  <c r="AA510" i="3"/>
  <c r="AD510" i="3" s="1"/>
  <c r="AA511" i="3"/>
  <c r="AD511" i="3" s="1"/>
  <c r="AA512" i="3"/>
  <c r="AD512" i="3" s="1"/>
  <c r="AA513" i="3"/>
  <c r="AD513" i="3" s="1"/>
  <c r="AA514" i="3"/>
  <c r="AD514" i="3" s="1"/>
  <c r="AA515" i="3"/>
  <c r="AD515" i="3" s="1"/>
  <c r="AA516" i="3"/>
  <c r="AD516" i="3" s="1"/>
  <c r="AA517" i="3"/>
  <c r="AD517" i="3" s="1"/>
  <c r="AA518" i="3"/>
  <c r="AD518" i="3" s="1"/>
  <c r="AA519" i="3"/>
  <c r="AD519" i="3" s="1"/>
  <c r="AA520" i="3"/>
  <c r="AD520" i="3" s="1"/>
  <c r="AA521" i="3"/>
  <c r="AD521" i="3" s="1"/>
  <c r="AA522" i="3"/>
  <c r="AD522" i="3" s="1"/>
  <c r="AA523" i="3"/>
  <c r="AD523" i="3" s="1"/>
  <c r="AA524" i="3"/>
  <c r="AD524" i="3" s="1"/>
  <c r="AA525" i="3"/>
  <c r="AD525" i="3" s="1"/>
  <c r="AA526" i="3"/>
  <c r="AD526" i="3" s="1"/>
  <c r="AA527" i="3"/>
  <c r="AD527" i="3" s="1"/>
  <c r="AA528" i="3"/>
  <c r="AD528" i="3" s="1"/>
  <c r="AA529" i="3"/>
  <c r="AD529" i="3" s="1"/>
  <c r="AA530" i="3"/>
  <c r="AD530" i="3" s="1"/>
  <c r="AA531" i="3"/>
  <c r="AD531" i="3" s="1"/>
  <c r="AA532" i="3"/>
  <c r="AD532" i="3" s="1"/>
  <c r="AA533" i="3"/>
  <c r="AD533" i="3" s="1"/>
  <c r="AA534" i="3"/>
  <c r="AD534" i="3" s="1"/>
  <c r="AA535" i="3"/>
  <c r="AD535" i="3" s="1"/>
  <c r="AA536" i="3"/>
  <c r="AD536" i="3" s="1"/>
  <c r="AA537" i="3"/>
  <c r="AD537" i="3" s="1"/>
  <c r="AA538" i="3"/>
  <c r="AD538" i="3" s="1"/>
  <c r="AA539" i="3"/>
  <c r="AD539" i="3" s="1"/>
  <c r="AA540" i="3"/>
  <c r="AD540" i="3" s="1"/>
  <c r="AA541" i="3"/>
  <c r="AD541" i="3" s="1"/>
  <c r="AA542" i="3"/>
  <c r="AD542" i="3" s="1"/>
  <c r="AA543" i="3"/>
  <c r="AD543" i="3" s="1"/>
  <c r="AA544" i="3"/>
  <c r="AD544" i="3" s="1"/>
  <c r="AA545" i="3"/>
  <c r="AD545" i="3" s="1"/>
  <c r="AA546" i="3"/>
  <c r="AD546" i="3" s="1"/>
  <c r="AA547" i="3"/>
  <c r="AD547" i="3" s="1"/>
  <c r="AA548" i="3"/>
  <c r="AD548" i="3" s="1"/>
  <c r="AA549" i="3"/>
  <c r="AD549" i="3" s="1"/>
  <c r="AA550" i="3"/>
  <c r="AD550" i="3" s="1"/>
  <c r="AA551" i="3"/>
  <c r="AD551" i="3" s="1"/>
  <c r="AA552" i="3"/>
  <c r="AD552" i="3" s="1"/>
  <c r="AA553" i="3"/>
  <c r="AD553" i="3" s="1"/>
  <c r="AA554" i="3"/>
  <c r="AD554" i="3" s="1"/>
  <c r="AA555" i="3"/>
  <c r="AD555" i="3" s="1"/>
  <c r="AA556" i="3"/>
  <c r="AD556" i="3" s="1"/>
  <c r="AA557" i="3"/>
  <c r="AD557" i="3" s="1"/>
  <c r="AA558" i="3"/>
  <c r="AD558" i="3" s="1"/>
  <c r="AA559" i="3"/>
  <c r="AD559" i="3" s="1"/>
  <c r="AA560" i="3"/>
  <c r="AD560" i="3" s="1"/>
  <c r="AA561" i="3"/>
  <c r="AD561" i="3" s="1"/>
  <c r="AA562" i="3"/>
  <c r="AD562" i="3" s="1"/>
  <c r="AA563" i="3"/>
  <c r="AD563" i="3" s="1"/>
  <c r="AA564" i="3"/>
  <c r="AD564" i="3" s="1"/>
  <c r="AA565" i="3"/>
  <c r="AD565" i="3" s="1"/>
  <c r="AA566" i="3"/>
  <c r="AD566" i="3" s="1"/>
  <c r="AA567" i="3"/>
  <c r="AD567" i="3" s="1"/>
  <c r="AA568" i="3"/>
  <c r="AD568" i="3" s="1"/>
  <c r="AA569" i="3"/>
  <c r="AD569" i="3" s="1"/>
  <c r="AA570" i="3"/>
  <c r="AD570" i="3" s="1"/>
  <c r="AA571" i="3"/>
  <c r="AD571" i="3" s="1"/>
  <c r="AA572" i="3"/>
  <c r="AD572" i="3" s="1"/>
  <c r="AA573" i="3"/>
  <c r="AD573" i="3" s="1"/>
  <c r="AA574" i="3"/>
  <c r="AD574" i="3" s="1"/>
  <c r="AA575" i="3"/>
  <c r="AD575" i="3" s="1"/>
  <c r="AA576" i="3"/>
  <c r="AD576" i="3" s="1"/>
  <c r="AA577" i="3"/>
  <c r="AD577" i="3" s="1"/>
  <c r="AA578" i="3"/>
  <c r="AD578" i="3" s="1"/>
  <c r="AA579" i="3"/>
  <c r="AD579" i="3" s="1"/>
  <c r="AA580" i="3"/>
  <c r="AD580" i="3" s="1"/>
  <c r="AA581" i="3"/>
  <c r="AD581" i="3" s="1"/>
  <c r="AA582" i="3"/>
  <c r="AD582" i="3" s="1"/>
  <c r="AA583" i="3"/>
  <c r="AD583" i="3" s="1"/>
  <c r="AA584" i="3"/>
  <c r="AD584" i="3" s="1"/>
  <c r="AA585" i="3"/>
  <c r="AD585" i="3" s="1"/>
  <c r="AA586" i="3"/>
  <c r="AD586" i="3" s="1"/>
  <c r="AA587" i="3"/>
  <c r="AD587" i="3" s="1"/>
  <c r="AA588" i="3"/>
  <c r="AD588" i="3" s="1"/>
  <c r="AA589" i="3"/>
  <c r="AD589" i="3" s="1"/>
  <c r="AA590" i="3"/>
  <c r="AD590" i="3" s="1"/>
  <c r="AA591" i="3"/>
  <c r="AD591" i="3" s="1"/>
  <c r="AA592" i="3"/>
  <c r="AD592" i="3" s="1"/>
  <c r="AA593" i="3"/>
  <c r="AD593" i="3" s="1"/>
  <c r="AA594" i="3"/>
  <c r="AD594" i="3" s="1"/>
  <c r="AA595" i="3"/>
  <c r="AD595" i="3" s="1"/>
  <c r="AA596" i="3"/>
  <c r="AD596" i="3" s="1"/>
  <c r="AA597" i="3"/>
  <c r="AD597" i="3" s="1"/>
  <c r="AA598" i="3"/>
  <c r="AD598" i="3" s="1"/>
  <c r="AA599" i="3"/>
  <c r="AD599" i="3" s="1"/>
  <c r="AA600" i="3"/>
  <c r="AD600" i="3" s="1"/>
  <c r="AA601" i="3"/>
  <c r="AD601" i="3" s="1"/>
  <c r="AA602" i="3"/>
  <c r="AD602" i="3" s="1"/>
  <c r="AA603" i="3"/>
  <c r="AD603" i="3" s="1"/>
  <c r="AA604" i="3"/>
  <c r="AD604" i="3" s="1"/>
  <c r="AA605" i="3"/>
  <c r="AD605" i="3" s="1"/>
  <c r="AA606" i="3"/>
  <c r="AD606" i="3" s="1"/>
  <c r="AA607" i="3"/>
  <c r="AD607" i="3" s="1"/>
  <c r="AA608" i="3"/>
  <c r="AD608" i="3" s="1"/>
  <c r="AA609" i="3"/>
  <c r="AD609" i="3" s="1"/>
  <c r="AA610" i="3"/>
  <c r="AD610" i="3" s="1"/>
  <c r="AA611" i="3"/>
  <c r="AD611" i="3" s="1"/>
  <c r="AA612" i="3"/>
  <c r="AD612" i="3" s="1"/>
  <c r="AA613" i="3"/>
  <c r="AD613" i="3" s="1"/>
  <c r="AA614" i="3"/>
  <c r="AD614" i="3" s="1"/>
  <c r="AA615" i="3"/>
  <c r="AD615" i="3" s="1"/>
  <c r="AA616" i="3"/>
  <c r="AD616" i="3" s="1"/>
  <c r="AA617" i="3"/>
  <c r="AD617" i="3" s="1"/>
  <c r="AA618" i="3"/>
  <c r="AD618" i="3" s="1"/>
  <c r="AA619" i="3"/>
  <c r="AD619" i="3" s="1"/>
  <c r="AA620" i="3"/>
  <c r="AD620" i="3" s="1"/>
  <c r="AA621" i="3"/>
  <c r="AD621" i="3" s="1"/>
  <c r="AA622" i="3"/>
  <c r="AD622" i="3" s="1"/>
  <c r="AA623" i="3"/>
  <c r="AD623" i="3" s="1"/>
  <c r="AA624" i="3"/>
  <c r="AD624" i="3" s="1"/>
  <c r="AA625" i="3"/>
  <c r="AD625" i="3" s="1"/>
  <c r="AA626" i="3"/>
  <c r="AD626" i="3" s="1"/>
  <c r="AA627" i="3"/>
  <c r="AD627" i="3" s="1"/>
  <c r="AA628" i="3"/>
  <c r="AD628" i="3" s="1"/>
  <c r="AA629" i="3"/>
  <c r="AD629" i="3" s="1"/>
  <c r="AA630" i="3"/>
  <c r="AD630" i="3" s="1"/>
  <c r="AA631" i="3"/>
  <c r="AD631" i="3" s="1"/>
  <c r="AA632" i="3"/>
  <c r="AD632" i="3" s="1"/>
  <c r="AA633" i="3"/>
  <c r="AD633" i="3" s="1"/>
  <c r="AA634" i="3"/>
  <c r="AD634" i="3" s="1"/>
  <c r="AA635" i="3"/>
  <c r="AD635" i="3" s="1"/>
  <c r="AA636" i="3"/>
  <c r="AD636" i="3" s="1"/>
  <c r="AA637" i="3"/>
  <c r="AD637" i="3" s="1"/>
  <c r="AA638" i="3"/>
  <c r="AD638" i="3" s="1"/>
  <c r="AA639" i="3"/>
  <c r="AD639" i="3" s="1"/>
  <c r="AA640" i="3"/>
  <c r="AD640" i="3" s="1"/>
  <c r="AA641" i="3"/>
  <c r="AD641" i="3" s="1"/>
  <c r="AA642" i="3"/>
  <c r="AD642" i="3" s="1"/>
  <c r="AA643" i="3"/>
  <c r="AD643" i="3" s="1"/>
  <c r="AA644" i="3"/>
  <c r="AD644" i="3" s="1"/>
  <c r="AA645" i="3"/>
  <c r="AD645" i="3" s="1"/>
  <c r="AA646" i="3"/>
  <c r="AD646" i="3" s="1"/>
  <c r="AA647" i="3"/>
  <c r="AD647" i="3" s="1"/>
  <c r="AA648" i="3"/>
  <c r="AD648" i="3" s="1"/>
  <c r="AA649" i="3"/>
  <c r="AD649" i="3" s="1"/>
  <c r="AA650" i="3"/>
  <c r="AD650" i="3" s="1"/>
  <c r="AA651" i="3"/>
  <c r="AD651" i="3" s="1"/>
  <c r="AA652" i="3"/>
  <c r="AD652" i="3" s="1"/>
  <c r="AA653" i="3"/>
  <c r="AD653" i="3" s="1"/>
  <c r="AA654" i="3"/>
  <c r="AD654" i="3" s="1"/>
  <c r="AA655" i="3"/>
  <c r="AD655" i="3" s="1"/>
  <c r="AA656" i="3"/>
  <c r="AD656" i="3" s="1"/>
  <c r="AA657" i="3"/>
  <c r="AD657" i="3" s="1"/>
  <c r="AA658" i="3"/>
  <c r="AD658" i="3" s="1"/>
  <c r="AA659" i="3"/>
  <c r="AD659" i="3" s="1"/>
  <c r="AA660" i="3"/>
  <c r="AD660" i="3" s="1"/>
  <c r="AA661" i="3"/>
  <c r="AD661" i="3" s="1"/>
  <c r="AA662" i="3"/>
  <c r="AD662" i="3" s="1"/>
  <c r="AA663" i="3"/>
  <c r="AD663" i="3" s="1"/>
  <c r="AA664" i="3"/>
  <c r="AD664" i="3" s="1"/>
  <c r="AA665" i="3"/>
  <c r="AD665" i="3" s="1"/>
  <c r="AA666" i="3"/>
  <c r="AD666" i="3" s="1"/>
  <c r="AA667" i="3"/>
  <c r="AD667" i="3" s="1"/>
  <c r="AA668" i="3"/>
  <c r="AD668" i="3" s="1"/>
  <c r="AA669" i="3"/>
  <c r="AD669" i="3" s="1"/>
  <c r="AA670" i="3"/>
  <c r="AD670" i="3" s="1"/>
  <c r="AA671" i="3"/>
  <c r="AD671" i="3" s="1"/>
  <c r="AA672" i="3"/>
  <c r="AD672" i="3" s="1"/>
  <c r="AA673" i="3"/>
  <c r="AD673" i="3" s="1"/>
  <c r="AA674" i="3"/>
  <c r="AD674" i="3" s="1"/>
  <c r="AA675" i="3"/>
  <c r="AD675" i="3" s="1"/>
  <c r="AA676" i="3"/>
  <c r="AD676" i="3" s="1"/>
  <c r="AA677" i="3"/>
  <c r="AD677" i="3" s="1"/>
  <c r="AA678" i="3"/>
  <c r="AD678" i="3" s="1"/>
  <c r="AA679" i="3"/>
  <c r="AD679" i="3" s="1"/>
  <c r="AA680" i="3"/>
  <c r="AD680" i="3" s="1"/>
  <c r="AA681" i="3"/>
  <c r="AD681" i="3" s="1"/>
  <c r="AA682" i="3"/>
  <c r="AD682" i="3" s="1"/>
  <c r="AA683" i="3"/>
  <c r="AD683" i="3" s="1"/>
  <c r="AA684" i="3"/>
  <c r="AD684" i="3" s="1"/>
  <c r="AA685" i="3"/>
  <c r="AD685" i="3" s="1"/>
  <c r="AA686" i="3"/>
  <c r="AD686" i="3" s="1"/>
  <c r="AA687" i="3"/>
  <c r="AD687" i="3" s="1"/>
  <c r="AA688" i="3"/>
  <c r="AD688" i="3" s="1"/>
  <c r="AA689" i="3"/>
  <c r="AD689" i="3" s="1"/>
  <c r="AA690" i="3"/>
  <c r="AD690" i="3" s="1"/>
  <c r="AA691" i="3"/>
  <c r="AD691" i="3" s="1"/>
  <c r="AA692" i="3"/>
  <c r="AD692" i="3" s="1"/>
  <c r="AA693" i="3"/>
  <c r="AD693" i="3" s="1"/>
  <c r="AA694" i="3"/>
  <c r="AD694" i="3" s="1"/>
  <c r="AA695" i="3"/>
  <c r="AD695" i="3" s="1"/>
  <c r="AA696" i="3"/>
  <c r="AD696" i="3" s="1"/>
  <c r="AA697" i="3"/>
  <c r="AD697" i="3" s="1"/>
  <c r="AA698" i="3"/>
  <c r="AD698" i="3" s="1"/>
  <c r="AA699" i="3"/>
  <c r="AD699" i="3" s="1"/>
  <c r="AA700" i="3"/>
  <c r="AD700" i="3" s="1"/>
  <c r="AA701" i="3"/>
  <c r="AD701" i="3" s="1"/>
  <c r="AA702" i="3"/>
  <c r="AD702" i="3" s="1"/>
  <c r="AA703" i="3"/>
  <c r="AD703" i="3" s="1"/>
  <c r="AA704" i="3"/>
  <c r="AD704" i="3" s="1"/>
  <c r="AA705" i="3"/>
  <c r="AD705" i="3" s="1"/>
  <c r="AA706" i="3"/>
  <c r="AD706" i="3" s="1"/>
  <c r="AA707" i="3"/>
  <c r="AD707" i="3" s="1"/>
  <c r="AA708" i="3"/>
  <c r="AD708" i="3" s="1"/>
  <c r="AA709" i="3"/>
  <c r="AD709" i="3" s="1"/>
  <c r="AA710" i="3"/>
  <c r="AD710" i="3" s="1"/>
  <c r="AA711" i="3"/>
  <c r="AD711" i="3" s="1"/>
  <c r="AA712" i="3"/>
  <c r="AD712" i="3" s="1"/>
  <c r="AA713" i="3"/>
  <c r="AD713" i="3" s="1"/>
  <c r="AA714" i="3"/>
  <c r="AD714" i="3" s="1"/>
  <c r="AA715" i="3"/>
  <c r="AD715" i="3" s="1"/>
  <c r="AA716" i="3"/>
  <c r="AD716" i="3" s="1"/>
  <c r="AA717" i="3"/>
  <c r="AD717" i="3" s="1"/>
  <c r="AA718" i="3"/>
  <c r="AD718" i="3" s="1"/>
  <c r="AA719" i="3"/>
  <c r="AD719" i="3" s="1"/>
  <c r="AA720" i="3"/>
  <c r="AD720" i="3" s="1"/>
  <c r="AA721" i="3"/>
  <c r="AD721" i="3" s="1"/>
  <c r="AA722" i="3"/>
  <c r="AD722" i="3" s="1"/>
  <c r="AA723" i="3"/>
  <c r="AD723" i="3" s="1"/>
  <c r="AA724" i="3"/>
  <c r="AD724" i="3" s="1"/>
  <c r="AA725" i="3"/>
  <c r="AD725" i="3" s="1"/>
  <c r="AA726" i="3"/>
  <c r="AD726" i="3" s="1"/>
  <c r="AA727" i="3"/>
  <c r="AD727" i="3" s="1"/>
  <c r="AA728" i="3"/>
  <c r="AD728" i="3" s="1"/>
  <c r="AA729" i="3"/>
  <c r="AD729" i="3" s="1"/>
  <c r="AA730" i="3"/>
  <c r="AD730" i="3" s="1"/>
  <c r="AA731" i="3"/>
  <c r="AD731" i="3" s="1"/>
  <c r="AA732" i="3"/>
  <c r="AD732" i="3" s="1"/>
  <c r="AA733" i="3"/>
  <c r="AD733" i="3" s="1"/>
  <c r="AA734" i="3"/>
  <c r="AD734" i="3" s="1"/>
  <c r="AA735" i="3"/>
  <c r="AD735" i="3" s="1"/>
  <c r="AA736" i="3"/>
  <c r="AD736" i="3" s="1"/>
  <c r="AA737" i="3"/>
  <c r="AD737" i="3" s="1"/>
  <c r="AA738" i="3"/>
  <c r="AD738" i="3" s="1"/>
  <c r="AA739" i="3"/>
  <c r="AD739" i="3" s="1"/>
  <c r="AA740" i="3"/>
  <c r="AD740" i="3" s="1"/>
  <c r="AA741" i="3"/>
  <c r="AD741" i="3" s="1"/>
  <c r="AA742" i="3"/>
  <c r="AD742" i="3" s="1"/>
  <c r="AA743" i="3"/>
  <c r="AD743" i="3" s="1"/>
  <c r="AA744" i="3"/>
  <c r="AD744" i="3" s="1"/>
  <c r="AA745" i="3"/>
  <c r="AD745" i="3" s="1"/>
  <c r="AA746" i="3"/>
  <c r="AD746" i="3" s="1"/>
  <c r="AA747" i="3"/>
  <c r="AD747" i="3" s="1"/>
  <c r="AA748" i="3"/>
  <c r="AD748" i="3" s="1"/>
  <c r="AA749" i="3"/>
  <c r="AD749" i="3" s="1"/>
  <c r="AA750" i="3"/>
  <c r="AD750" i="3" s="1"/>
  <c r="AA751" i="3"/>
  <c r="AD751" i="3" s="1"/>
  <c r="AA752" i="3"/>
  <c r="AD752" i="3" s="1"/>
  <c r="AA753" i="3"/>
  <c r="AD753" i="3" s="1"/>
  <c r="AA754" i="3"/>
  <c r="AD754" i="3" s="1"/>
  <c r="AA755" i="3"/>
  <c r="AD755" i="3" s="1"/>
  <c r="AA756" i="3"/>
  <c r="AD756" i="3" s="1"/>
  <c r="AA757" i="3"/>
  <c r="AD757" i="3" s="1"/>
  <c r="AA758" i="3"/>
  <c r="AD758" i="3" s="1"/>
  <c r="AA759" i="3"/>
  <c r="AD759" i="3" s="1"/>
  <c r="AA760" i="3"/>
  <c r="AD760" i="3" s="1"/>
  <c r="AA761" i="3"/>
  <c r="AD761" i="3" s="1"/>
  <c r="AA762" i="3"/>
  <c r="AD762" i="3" s="1"/>
  <c r="AA763" i="3"/>
  <c r="AD763" i="3" s="1"/>
  <c r="AA764" i="3"/>
  <c r="AD764" i="3" s="1"/>
  <c r="AA765" i="3"/>
  <c r="AD765" i="3" s="1"/>
  <c r="AA766" i="3"/>
  <c r="AD766" i="3" s="1"/>
  <c r="AA767" i="3"/>
  <c r="AD767" i="3" s="1"/>
  <c r="AA768" i="3"/>
  <c r="AD768" i="3" s="1"/>
  <c r="AA769" i="3"/>
  <c r="AD769" i="3" s="1"/>
  <c r="AA770" i="3"/>
  <c r="AD770" i="3" s="1"/>
  <c r="AA771" i="3"/>
  <c r="AD771" i="3" s="1"/>
  <c r="AA772" i="3"/>
  <c r="AD772" i="3" s="1"/>
  <c r="AA773" i="3"/>
  <c r="AD773" i="3" s="1"/>
  <c r="AA774" i="3"/>
  <c r="AD774" i="3" s="1"/>
  <c r="AA775" i="3"/>
  <c r="AD775" i="3" s="1"/>
  <c r="AA776" i="3"/>
  <c r="AD776" i="3" s="1"/>
  <c r="AA777" i="3"/>
  <c r="AD777" i="3" s="1"/>
  <c r="AA778" i="3"/>
  <c r="AD778" i="3" s="1"/>
  <c r="AA779" i="3"/>
  <c r="AD779" i="3" s="1"/>
  <c r="AA780" i="3"/>
  <c r="AD780" i="3" s="1"/>
  <c r="AA781" i="3"/>
  <c r="AD781" i="3" s="1"/>
  <c r="AA782" i="3"/>
  <c r="AD782" i="3" s="1"/>
  <c r="AA783" i="3"/>
  <c r="AD783" i="3" s="1"/>
  <c r="AA784" i="3"/>
  <c r="AD784" i="3" s="1"/>
  <c r="AA785" i="3"/>
  <c r="AD785" i="3" s="1"/>
  <c r="AA786" i="3"/>
  <c r="AD786" i="3" s="1"/>
  <c r="AA787" i="3"/>
  <c r="AD787" i="3" s="1"/>
  <c r="AA788" i="3"/>
  <c r="AD788" i="3" s="1"/>
  <c r="AA789" i="3"/>
  <c r="AD789" i="3" s="1"/>
  <c r="AA790" i="3"/>
  <c r="AD790" i="3" s="1"/>
  <c r="AA791" i="3"/>
  <c r="AD791" i="3" s="1"/>
  <c r="AA792" i="3"/>
  <c r="AD792" i="3" s="1"/>
  <c r="AA793" i="3"/>
  <c r="AD793" i="3" s="1"/>
  <c r="AA794" i="3"/>
  <c r="AD794" i="3" s="1"/>
  <c r="AA795" i="3"/>
  <c r="AD795" i="3" s="1"/>
  <c r="AA796" i="3"/>
  <c r="AD796" i="3" s="1"/>
  <c r="AA797" i="3"/>
  <c r="AD797" i="3" s="1"/>
  <c r="AA798" i="3"/>
  <c r="AD798" i="3" s="1"/>
  <c r="AA799" i="3"/>
  <c r="AD799" i="3" s="1"/>
  <c r="AA800" i="3"/>
  <c r="AD800" i="3" s="1"/>
  <c r="AA801" i="3"/>
  <c r="AD801" i="3" s="1"/>
  <c r="AA802" i="3"/>
  <c r="AD802" i="3" s="1"/>
  <c r="AA803" i="3"/>
  <c r="AD803" i="3" s="1"/>
  <c r="AA804" i="3"/>
  <c r="AD804" i="3" s="1"/>
  <c r="AA805" i="3"/>
  <c r="AD805" i="3" s="1"/>
  <c r="AA806" i="3"/>
  <c r="AD806" i="3" s="1"/>
  <c r="AA807" i="3"/>
  <c r="AD807" i="3" s="1"/>
  <c r="AA808" i="3"/>
  <c r="AD808" i="3" s="1"/>
  <c r="AA809" i="3"/>
  <c r="AD809" i="3" s="1"/>
  <c r="AA810" i="3"/>
  <c r="AD810" i="3" s="1"/>
  <c r="AA811" i="3"/>
  <c r="AD811" i="3" s="1"/>
  <c r="AA812" i="3"/>
  <c r="AD812" i="3" s="1"/>
  <c r="AA813" i="3"/>
  <c r="AD813" i="3" s="1"/>
  <c r="AA814" i="3"/>
  <c r="AD814" i="3" s="1"/>
  <c r="AA815" i="3"/>
  <c r="AD815" i="3" s="1"/>
  <c r="AA816" i="3"/>
  <c r="AD816" i="3" s="1"/>
  <c r="AA817" i="3"/>
  <c r="AD817" i="3" s="1"/>
  <c r="AA818" i="3"/>
  <c r="AD818" i="3" s="1"/>
  <c r="AA819" i="3"/>
  <c r="AD819" i="3" s="1"/>
  <c r="AA820" i="3"/>
  <c r="AD820" i="3" s="1"/>
  <c r="AA821" i="3"/>
  <c r="AD821" i="3" s="1"/>
  <c r="AA822" i="3"/>
  <c r="AD822" i="3" s="1"/>
  <c r="AA823" i="3"/>
  <c r="AD823" i="3" s="1"/>
  <c r="AA824" i="3"/>
  <c r="AD824" i="3" s="1"/>
  <c r="AA825" i="3"/>
  <c r="AD825" i="3" s="1"/>
  <c r="AA826" i="3"/>
  <c r="AD826" i="3" s="1"/>
  <c r="AA827" i="3"/>
  <c r="AD827" i="3" s="1"/>
  <c r="AA828" i="3"/>
  <c r="AD828" i="3" s="1"/>
  <c r="AA829" i="3"/>
  <c r="AD829" i="3" s="1"/>
  <c r="AA830" i="3"/>
  <c r="AD830" i="3" s="1"/>
  <c r="AA831" i="3"/>
  <c r="AD831" i="3" s="1"/>
  <c r="AA832" i="3"/>
  <c r="AD832" i="3" s="1"/>
  <c r="AA833" i="3"/>
  <c r="AD833" i="3" s="1"/>
  <c r="AA834" i="3"/>
  <c r="AD834" i="3" s="1"/>
  <c r="AA835" i="3"/>
  <c r="AD835" i="3" s="1"/>
  <c r="AA836" i="3"/>
  <c r="AD836" i="3" s="1"/>
  <c r="AA837" i="3"/>
  <c r="AD837" i="3" s="1"/>
  <c r="AA838" i="3"/>
  <c r="AD838" i="3" s="1"/>
  <c r="AA839" i="3"/>
  <c r="AD839" i="3" s="1"/>
  <c r="AA840" i="3"/>
  <c r="AD840" i="3" s="1"/>
  <c r="AA841" i="3"/>
  <c r="AD841" i="3" s="1"/>
  <c r="AA842" i="3"/>
  <c r="AD842" i="3" s="1"/>
  <c r="AA843" i="3"/>
  <c r="AD843" i="3" s="1"/>
  <c r="AA844" i="3"/>
  <c r="AD844" i="3" s="1"/>
  <c r="AA845" i="3"/>
  <c r="AD845" i="3" s="1"/>
  <c r="AA846" i="3"/>
  <c r="AD846" i="3" s="1"/>
  <c r="AA847" i="3"/>
  <c r="AD847" i="3" s="1"/>
  <c r="AA848" i="3"/>
  <c r="AD848" i="3" s="1"/>
  <c r="AA849" i="3"/>
  <c r="AD849" i="3" s="1"/>
  <c r="AA850" i="3"/>
  <c r="AD850" i="3" s="1"/>
  <c r="AA851" i="3"/>
  <c r="AD851" i="3" s="1"/>
  <c r="AA852" i="3"/>
  <c r="AD852" i="3" s="1"/>
  <c r="AA853" i="3"/>
  <c r="AD853" i="3" s="1"/>
  <c r="AA854" i="3"/>
  <c r="AD854" i="3" s="1"/>
  <c r="AA855" i="3"/>
  <c r="AD855" i="3" s="1"/>
  <c r="AA856" i="3"/>
  <c r="AD856" i="3" s="1"/>
  <c r="AA857" i="3"/>
  <c r="AD857" i="3" s="1"/>
  <c r="AA858" i="3"/>
  <c r="AD858" i="3" s="1"/>
  <c r="AA859" i="3"/>
  <c r="AD859" i="3" s="1"/>
  <c r="AA860" i="3"/>
  <c r="AD860" i="3" s="1"/>
  <c r="AA861" i="3"/>
  <c r="AD861" i="3" s="1"/>
  <c r="AA862" i="3"/>
  <c r="AD862" i="3" s="1"/>
  <c r="AA863" i="3"/>
  <c r="AD863" i="3" s="1"/>
  <c r="AA864" i="3"/>
  <c r="AD864" i="3" s="1"/>
  <c r="AA865" i="3"/>
  <c r="AD865" i="3" s="1"/>
  <c r="AA866" i="3"/>
  <c r="AD866" i="3" s="1"/>
  <c r="AA867" i="3"/>
  <c r="AD867" i="3" s="1"/>
  <c r="AA868" i="3"/>
  <c r="AD868" i="3" s="1"/>
  <c r="AA869" i="3"/>
  <c r="AD869" i="3" s="1"/>
  <c r="AA870" i="3"/>
  <c r="AD870" i="3" s="1"/>
  <c r="AA871" i="3"/>
  <c r="AD871" i="3" s="1"/>
  <c r="AA872" i="3"/>
  <c r="AD872" i="3" s="1"/>
  <c r="AA873" i="3"/>
  <c r="AD873" i="3" s="1"/>
  <c r="AA874" i="3"/>
  <c r="AD874" i="3" s="1"/>
  <c r="AA875" i="3"/>
  <c r="AD875" i="3" s="1"/>
  <c r="AA876" i="3"/>
  <c r="AD876" i="3" s="1"/>
  <c r="AA877" i="3"/>
  <c r="AD877" i="3" s="1"/>
  <c r="AA878" i="3"/>
  <c r="AD878" i="3" s="1"/>
  <c r="AA879" i="3"/>
  <c r="AD879" i="3" s="1"/>
  <c r="AA880" i="3"/>
  <c r="AD880" i="3" s="1"/>
  <c r="AA881" i="3"/>
  <c r="AD881" i="3" s="1"/>
  <c r="AA882" i="3"/>
  <c r="AD882" i="3" s="1"/>
  <c r="AA883" i="3"/>
  <c r="AD883" i="3" s="1"/>
  <c r="AA884" i="3"/>
  <c r="AD884" i="3" s="1"/>
  <c r="AA885" i="3"/>
  <c r="AD885" i="3" s="1"/>
  <c r="AA886" i="3"/>
  <c r="AD886" i="3" s="1"/>
  <c r="AA887" i="3"/>
  <c r="AD887" i="3" s="1"/>
  <c r="AA888" i="3"/>
  <c r="AD888" i="3" s="1"/>
  <c r="AA889" i="3"/>
  <c r="AD889" i="3" s="1"/>
  <c r="AA890" i="3"/>
  <c r="AD890" i="3" s="1"/>
  <c r="AA891" i="3"/>
  <c r="AD891" i="3" s="1"/>
  <c r="AA892" i="3"/>
  <c r="AD892" i="3" s="1"/>
  <c r="AA893" i="3"/>
  <c r="AD893" i="3" s="1"/>
  <c r="AA894" i="3"/>
  <c r="AD894" i="3" s="1"/>
  <c r="AA895" i="3"/>
  <c r="AD895" i="3" s="1"/>
  <c r="AA896" i="3"/>
  <c r="AD896" i="3" s="1"/>
  <c r="AA897" i="3"/>
  <c r="AD897" i="3" s="1"/>
  <c r="AA898" i="3"/>
  <c r="AD898" i="3" s="1"/>
  <c r="AA899" i="3"/>
  <c r="AD899" i="3" s="1"/>
  <c r="AA900" i="3"/>
  <c r="AD900" i="3" s="1"/>
  <c r="AA901" i="3"/>
  <c r="AD901" i="3" s="1"/>
  <c r="AA902" i="3"/>
  <c r="AD902" i="3" s="1"/>
  <c r="AA903" i="3"/>
  <c r="AD903" i="3" s="1"/>
  <c r="AA904" i="3"/>
  <c r="AD904" i="3" s="1"/>
  <c r="AA905" i="3"/>
  <c r="AD905" i="3" s="1"/>
  <c r="AA906" i="3"/>
  <c r="AD906" i="3" s="1"/>
  <c r="AA907" i="3"/>
  <c r="AD907" i="3" s="1"/>
  <c r="AA908" i="3"/>
  <c r="AD908" i="3" s="1"/>
  <c r="AA909" i="3"/>
  <c r="AD909" i="3" s="1"/>
  <c r="AA910" i="3"/>
  <c r="AD910" i="3" s="1"/>
  <c r="AA911" i="3"/>
  <c r="AD911" i="3" s="1"/>
  <c r="AA912" i="3"/>
  <c r="AD912" i="3" s="1"/>
  <c r="AA913" i="3"/>
  <c r="AD913" i="3" s="1"/>
  <c r="AA914" i="3"/>
  <c r="AD914" i="3" s="1"/>
  <c r="AA915" i="3"/>
  <c r="AD915" i="3" s="1"/>
  <c r="AA916" i="3"/>
  <c r="AD916" i="3" s="1"/>
  <c r="AA917" i="3"/>
  <c r="AD917" i="3" s="1"/>
  <c r="AA918" i="3"/>
  <c r="AD918" i="3" s="1"/>
  <c r="AA919" i="3"/>
  <c r="AD919" i="3" s="1"/>
  <c r="AA920" i="3"/>
  <c r="AD920" i="3" s="1"/>
  <c r="AA921" i="3"/>
  <c r="AD921" i="3" s="1"/>
  <c r="AA922" i="3"/>
  <c r="AD922" i="3" s="1"/>
  <c r="AA923" i="3"/>
  <c r="AD923" i="3" s="1"/>
  <c r="AA924" i="3"/>
  <c r="AD924" i="3" s="1"/>
  <c r="AA925" i="3"/>
  <c r="AD925" i="3" s="1"/>
  <c r="AA926" i="3"/>
  <c r="AD926" i="3" s="1"/>
  <c r="AA927" i="3"/>
  <c r="AD927" i="3" s="1"/>
  <c r="AA928" i="3"/>
  <c r="AD928" i="3" s="1"/>
  <c r="AA929" i="3"/>
  <c r="AD929" i="3" s="1"/>
  <c r="AA930" i="3"/>
  <c r="AD930" i="3" s="1"/>
  <c r="AA931" i="3"/>
  <c r="AD931" i="3" s="1"/>
  <c r="AA932" i="3"/>
  <c r="AD932" i="3" s="1"/>
  <c r="AA933" i="3"/>
  <c r="AD933" i="3" s="1"/>
  <c r="AA934" i="3"/>
  <c r="AD934" i="3" s="1"/>
  <c r="AA935" i="3"/>
  <c r="AD935" i="3" s="1"/>
  <c r="AA936" i="3"/>
  <c r="AD936" i="3" s="1"/>
  <c r="AA937" i="3"/>
  <c r="AD937" i="3" s="1"/>
  <c r="AA938" i="3"/>
  <c r="AD938" i="3" s="1"/>
  <c r="AA939" i="3"/>
  <c r="AD939" i="3" s="1"/>
  <c r="AA940" i="3"/>
  <c r="AD940" i="3" s="1"/>
  <c r="AA941" i="3"/>
  <c r="AD941" i="3" s="1"/>
  <c r="AA942" i="3"/>
  <c r="AD942" i="3" s="1"/>
  <c r="AA943" i="3"/>
  <c r="AD943" i="3" s="1"/>
  <c r="AA944" i="3"/>
  <c r="AD944" i="3" s="1"/>
  <c r="AA945" i="3"/>
  <c r="AD945" i="3" s="1"/>
  <c r="AA946" i="3"/>
  <c r="AD946" i="3" s="1"/>
  <c r="AA947" i="3"/>
  <c r="AD947" i="3" s="1"/>
  <c r="AA948" i="3"/>
  <c r="AD948" i="3" s="1"/>
  <c r="AA949" i="3"/>
  <c r="AD949" i="3" s="1"/>
  <c r="AA950" i="3"/>
  <c r="AD950" i="3" s="1"/>
  <c r="AA951" i="3"/>
  <c r="AD951" i="3" s="1"/>
  <c r="AA952" i="3"/>
  <c r="AD952" i="3" s="1"/>
  <c r="AA953" i="3"/>
  <c r="AD953" i="3" s="1"/>
  <c r="AA954" i="3"/>
  <c r="AD954" i="3" s="1"/>
  <c r="AA955" i="3"/>
  <c r="AD955" i="3" s="1"/>
  <c r="AA956" i="3"/>
  <c r="AD956" i="3" s="1"/>
  <c r="AA957" i="3"/>
  <c r="AD957" i="3" s="1"/>
  <c r="AA958" i="3"/>
  <c r="AD958" i="3" s="1"/>
  <c r="AA959" i="3"/>
  <c r="AD959" i="3" s="1"/>
  <c r="AA960" i="3"/>
  <c r="AD960" i="3" s="1"/>
  <c r="AA961" i="3"/>
  <c r="AD961" i="3" s="1"/>
  <c r="AA962" i="3"/>
  <c r="AD962" i="3" s="1"/>
  <c r="AA963" i="3"/>
  <c r="AD963" i="3" s="1"/>
  <c r="AA964" i="3"/>
  <c r="AD964" i="3" s="1"/>
  <c r="AA965" i="3"/>
  <c r="AD965" i="3" s="1"/>
  <c r="AA966" i="3"/>
  <c r="AD966" i="3" s="1"/>
  <c r="AA967" i="3"/>
  <c r="AD967" i="3" s="1"/>
  <c r="AA968" i="3"/>
  <c r="AD968" i="3" s="1"/>
  <c r="AA969" i="3"/>
  <c r="AD969" i="3" s="1"/>
  <c r="AA970" i="3"/>
  <c r="AD970" i="3" s="1"/>
  <c r="AA971" i="3"/>
  <c r="AD971" i="3" s="1"/>
  <c r="AA972" i="3"/>
  <c r="AD972" i="3" s="1"/>
  <c r="AA973" i="3"/>
  <c r="AD973" i="3" s="1"/>
  <c r="AA974" i="3"/>
  <c r="AD974" i="3" s="1"/>
  <c r="AA975" i="3"/>
  <c r="AD975" i="3" s="1"/>
  <c r="AA976" i="3"/>
  <c r="AD976" i="3" s="1"/>
  <c r="AA977" i="3"/>
  <c r="AD977" i="3" s="1"/>
  <c r="AA978" i="3"/>
  <c r="AD978" i="3" s="1"/>
  <c r="AA979" i="3"/>
  <c r="AD979" i="3" s="1"/>
  <c r="AA980" i="3"/>
  <c r="AD980" i="3" s="1"/>
  <c r="AA981" i="3"/>
  <c r="AD981" i="3" s="1"/>
  <c r="AA982" i="3"/>
  <c r="AD982" i="3" s="1"/>
  <c r="AA983" i="3"/>
  <c r="AD983" i="3" s="1"/>
  <c r="AA984" i="3"/>
  <c r="AD984" i="3" s="1"/>
  <c r="AA985" i="3"/>
  <c r="AD985" i="3" s="1"/>
  <c r="AA986" i="3"/>
  <c r="AD986" i="3" s="1"/>
  <c r="AA987" i="3"/>
  <c r="AD987" i="3" s="1"/>
  <c r="AA988" i="3"/>
  <c r="AD988" i="3" s="1"/>
  <c r="AA989" i="3"/>
  <c r="AD989" i="3" s="1"/>
  <c r="AA990" i="3"/>
  <c r="AD990" i="3" s="1"/>
  <c r="AD991" i="3"/>
  <c r="AA992" i="3"/>
  <c r="AD992" i="3" s="1"/>
  <c r="AA993" i="3"/>
  <c r="AD993" i="3" s="1"/>
  <c r="AA994" i="3"/>
  <c r="AD994" i="3" s="1"/>
  <c r="AA995" i="3"/>
  <c r="AD995" i="3" s="1"/>
  <c r="AA996" i="3"/>
  <c r="AD996" i="3" s="1"/>
  <c r="AA997" i="3"/>
  <c r="AD997" i="3" s="1"/>
  <c r="AA998" i="3"/>
  <c r="AD998" i="3" s="1"/>
  <c r="AA999" i="3"/>
  <c r="AD999" i="3" s="1"/>
  <c r="AA1000" i="3"/>
  <c r="AD1000" i="3" s="1"/>
  <c r="AA1001" i="3"/>
  <c r="AD1001" i="3" s="1"/>
  <c r="B14" i="11" a="1"/>
  <c r="B14" i="11" s="1"/>
  <c r="C14" i="11" s="1"/>
  <c r="B38" i="10" a="1"/>
  <c r="B38" i="10" s="1"/>
  <c r="C38" i="10" s="1"/>
  <c r="B13" i="10" a="1"/>
  <c r="B13" i="10" s="1"/>
  <c r="D13" i="10" s="1" a="1"/>
  <c r="D13" i="10" s="1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B15" i="9" a="1"/>
  <c r="B15" i="9" s="1"/>
  <c r="C15" i="9" s="1"/>
  <c r="B74" i="8" a="1"/>
  <c r="B74" i="8" s="1"/>
  <c r="B15" i="8" a="1"/>
  <c r="B15" i="8" s="1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B36" i="7" a="1"/>
  <c r="B36" i="7" s="1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B86" i="4" a="1"/>
  <c r="B86" i="4" s="1"/>
  <c r="C86" i="4" s="1"/>
  <c r="B34" i="4" a="1"/>
  <c r="B34" i="4" s="1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C65" i="17" l="1"/>
  <c r="C66" i="17"/>
  <c r="C19" i="17"/>
  <c r="C20" i="17"/>
  <c r="C36" i="17"/>
  <c r="B35" i="17"/>
  <c r="C35" i="17" s="1"/>
  <c r="D28" i="16"/>
  <c r="C28" i="16"/>
  <c r="C29" i="16"/>
  <c r="E29" i="16" s="1"/>
  <c r="B27" i="16"/>
  <c r="C13" i="16"/>
  <c r="C15" i="16"/>
  <c r="C14" i="16"/>
  <c r="D15" i="16"/>
  <c r="D14" i="16"/>
  <c r="L136" i="12"/>
  <c r="L72" i="12"/>
  <c r="L525" i="12"/>
  <c r="L144" i="12"/>
  <c r="L12" i="12"/>
  <c r="AI1002" i="3"/>
  <c r="L595" i="12"/>
  <c r="L531" i="12"/>
  <c r="L467" i="12"/>
  <c r="L403" i="12"/>
  <c r="L347" i="12"/>
  <c r="L332" i="12"/>
  <c r="L324" i="12"/>
  <c r="L316" i="12"/>
  <c r="L307" i="12"/>
  <c r="L298" i="12"/>
  <c r="L289" i="12"/>
  <c r="L280" i="12"/>
  <c r="L272" i="12"/>
  <c r="L263" i="12"/>
  <c r="L255" i="12"/>
  <c r="L247" i="12"/>
  <c r="L239" i="12"/>
  <c r="L231" i="12"/>
  <c r="L223" i="12"/>
  <c r="L215" i="12"/>
  <c r="L207" i="12"/>
  <c r="L199" i="12"/>
  <c r="L191" i="12"/>
  <c r="L183" i="12"/>
  <c r="L175" i="12"/>
  <c r="L167" i="12"/>
  <c r="L159" i="12"/>
  <c r="L151" i="12"/>
  <c r="L143" i="12"/>
  <c r="L135" i="12"/>
  <c r="L127" i="12"/>
  <c r="L119" i="12"/>
  <c r="L111" i="12"/>
  <c r="L103" i="12"/>
  <c r="L95" i="12"/>
  <c r="L87" i="12"/>
  <c r="L79" i="12"/>
  <c r="L71" i="12"/>
  <c r="L63" i="12"/>
  <c r="L55" i="12"/>
  <c r="L47" i="12"/>
  <c r="L39" i="12"/>
  <c r="L31" i="12"/>
  <c r="L23" i="12"/>
  <c r="L15" i="12"/>
  <c r="L606" i="12"/>
  <c r="L597" i="12"/>
  <c r="L588" i="12"/>
  <c r="L578" i="12"/>
  <c r="L569" i="12"/>
  <c r="L560" i="12"/>
  <c r="L551" i="12"/>
  <c r="L542" i="12"/>
  <c r="L533" i="12"/>
  <c r="L524" i="12"/>
  <c r="L514" i="12"/>
  <c r="L505" i="12"/>
  <c r="L496" i="12"/>
  <c r="L487" i="12"/>
  <c r="L478" i="12"/>
  <c r="L469" i="12"/>
  <c r="L460" i="12"/>
  <c r="L450" i="12"/>
  <c r="L441" i="12"/>
  <c r="L432" i="12"/>
  <c r="L423" i="12"/>
  <c r="L414" i="12"/>
  <c r="L405" i="12"/>
  <c r="L396" i="12"/>
  <c r="L386" i="12"/>
  <c r="L377" i="12"/>
  <c r="L368" i="12"/>
  <c r="L359" i="12"/>
  <c r="L350" i="12"/>
  <c r="L336" i="12"/>
  <c r="C13" i="14"/>
  <c r="L587" i="12"/>
  <c r="L523" i="12"/>
  <c r="L459" i="12"/>
  <c r="L395" i="12"/>
  <c r="L340" i="12"/>
  <c r="L331" i="12"/>
  <c r="L323" i="12"/>
  <c r="L315" i="12"/>
  <c r="L306" i="12"/>
  <c r="L297" i="12"/>
  <c r="L288" i="12"/>
  <c r="L279" i="12"/>
  <c r="L271" i="12"/>
  <c r="L262" i="12"/>
  <c r="L254" i="12"/>
  <c r="L246" i="12"/>
  <c r="L238" i="12"/>
  <c r="L230" i="12"/>
  <c r="L222" i="12"/>
  <c r="L214" i="12"/>
  <c r="L206" i="12"/>
  <c r="L198" i="12"/>
  <c r="L190" i="12"/>
  <c r="L182" i="12"/>
  <c r="L174" i="12"/>
  <c r="L166" i="12"/>
  <c r="L158" i="12"/>
  <c r="L150" i="12"/>
  <c r="L142" i="12"/>
  <c r="L134" i="12"/>
  <c r="L126" i="12"/>
  <c r="L118" i="12"/>
  <c r="L110" i="12"/>
  <c r="L102" i="12"/>
  <c r="L94" i="12"/>
  <c r="L86" i="12"/>
  <c r="L78" i="12"/>
  <c r="L70" i="12"/>
  <c r="L62" i="12"/>
  <c r="L54" i="12"/>
  <c r="L46" i="12"/>
  <c r="L38" i="12"/>
  <c r="L30" i="12"/>
  <c r="L22" i="12"/>
  <c r="L14" i="12"/>
  <c r="L605" i="12"/>
  <c r="L596" i="12"/>
  <c r="L586" i="12"/>
  <c r="L577" i="12"/>
  <c r="L568" i="12"/>
  <c r="L559" i="12"/>
  <c r="L550" i="12"/>
  <c r="L541" i="12"/>
  <c r="L532" i="12"/>
  <c r="L522" i="12"/>
  <c r="L513" i="12"/>
  <c r="L504" i="12"/>
  <c r="L495" i="12"/>
  <c r="L486" i="12"/>
  <c r="L477" i="12"/>
  <c r="L468" i="12"/>
  <c r="L458" i="12"/>
  <c r="L449" i="12"/>
  <c r="L440" i="12"/>
  <c r="L431" i="12"/>
  <c r="L422" i="12"/>
  <c r="L413" i="12"/>
  <c r="L404" i="12"/>
  <c r="L394" i="12"/>
  <c r="L385" i="12"/>
  <c r="L376" i="12"/>
  <c r="L367" i="12"/>
  <c r="L358" i="12"/>
  <c r="L348" i="12"/>
  <c r="L313" i="12"/>
  <c r="L579" i="12"/>
  <c r="L515" i="12"/>
  <c r="L451" i="12"/>
  <c r="L387" i="12"/>
  <c r="L339" i="12"/>
  <c r="L330" i="12"/>
  <c r="L322" i="12"/>
  <c r="L314" i="12"/>
  <c r="L305" i="12"/>
  <c r="L296" i="12"/>
  <c r="L287" i="12"/>
  <c r="L278" i="12"/>
  <c r="L270" i="12"/>
  <c r="L261" i="12"/>
  <c r="L253" i="12"/>
  <c r="L245" i="12"/>
  <c r="L237" i="12"/>
  <c r="L229" i="12"/>
  <c r="L221" i="12"/>
  <c r="L213" i="12"/>
  <c r="L205" i="12"/>
  <c r="L197" i="12"/>
  <c r="L189" i="12"/>
  <c r="L181" i="12"/>
  <c r="L173" i="12"/>
  <c r="L165" i="12"/>
  <c r="L157" i="12"/>
  <c r="L149" i="12"/>
  <c r="L141" i="12"/>
  <c r="L133" i="12"/>
  <c r="L125" i="12"/>
  <c r="L117" i="12"/>
  <c r="L109" i="12"/>
  <c r="L101" i="12"/>
  <c r="L93" i="12"/>
  <c r="L85" i="12"/>
  <c r="L77" i="12"/>
  <c r="L69" i="12"/>
  <c r="L61" i="12"/>
  <c r="L53" i="12"/>
  <c r="L45" i="12"/>
  <c r="L37" i="12"/>
  <c r="L29" i="12"/>
  <c r="L21" i="12"/>
  <c r="L13" i="12"/>
  <c r="L604" i="12"/>
  <c r="L594" i="12"/>
  <c r="L585" i="12"/>
  <c r="L576" i="12"/>
  <c r="L567" i="12"/>
  <c r="L558" i="12"/>
  <c r="L549" i="12"/>
  <c r="L540" i="12"/>
  <c r="L530" i="12"/>
  <c r="L521" i="12"/>
  <c r="L512" i="12"/>
  <c r="L503" i="12"/>
  <c r="L494" i="12"/>
  <c r="L485" i="12"/>
  <c r="L476" i="12"/>
  <c r="L466" i="12"/>
  <c r="L457" i="12"/>
  <c r="L448" i="12"/>
  <c r="L439" i="12"/>
  <c r="L430" i="12"/>
  <c r="L421" i="12"/>
  <c r="L412" i="12"/>
  <c r="L402" i="12"/>
  <c r="L393" i="12"/>
  <c r="L384" i="12"/>
  <c r="L375" i="12"/>
  <c r="L366" i="12"/>
  <c r="L357" i="12"/>
  <c r="L346" i="12"/>
  <c r="L300" i="12"/>
  <c r="L571" i="12"/>
  <c r="L507" i="12"/>
  <c r="L443" i="12"/>
  <c r="L379" i="12"/>
  <c r="L338" i="12"/>
  <c r="L329" i="12"/>
  <c r="L321" i="12"/>
  <c r="L312" i="12"/>
  <c r="L304" i="12"/>
  <c r="L295" i="12"/>
  <c r="L286" i="12"/>
  <c r="L277" i="12"/>
  <c r="L269" i="12"/>
  <c r="L260" i="12"/>
  <c r="L252" i="12"/>
  <c r="L244" i="12"/>
  <c r="L236" i="12"/>
  <c r="L228" i="12"/>
  <c r="L220" i="12"/>
  <c r="L212" i="12"/>
  <c r="L204" i="12"/>
  <c r="L196" i="12"/>
  <c r="L188" i="12"/>
  <c r="L180" i="12"/>
  <c r="L172" i="12"/>
  <c r="L164" i="12"/>
  <c r="L156" i="12"/>
  <c r="L148" i="12"/>
  <c r="L140" i="12"/>
  <c r="L132" i="12"/>
  <c r="L124" i="12"/>
  <c r="L116" i="12"/>
  <c r="L108" i="12"/>
  <c r="L100" i="12"/>
  <c r="L92" i="12"/>
  <c r="L84" i="12"/>
  <c r="L76" i="12"/>
  <c r="L68" i="12"/>
  <c r="L60" i="12"/>
  <c r="L52" i="12"/>
  <c r="L44" i="12"/>
  <c r="L36" i="12"/>
  <c r="L28" i="12"/>
  <c r="L20" i="12"/>
  <c r="L612" i="12"/>
  <c r="L602" i="12"/>
  <c r="L593" i="12"/>
  <c r="L584" i="12"/>
  <c r="L575" i="12"/>
  <c r="L566" i="12"/>
  <c r="L557" i="12"/>
  <c r="L548" i="12"/>
  <c r="L538" i="12"/>
  <c r="L529" i="12"/>
  <c r="L520" i="12"/>
  <c r="L511" i="12"/>
  <c r="L502" i="12"/>
  <c r="L493" i="12"/>
  <c r="L484" i="12"/>
  <c r="L474" i="12"/>
  <c r="L465" i="12"/>
  <c r="L456" i="12"/>
  <c r="L447" i="12"/>
  <c r="L438" i="12"/>
  <c r="L429" i="12"/>
  <c r="L420" i="12"/>
  <c r="L410" i="12"/>
  <c r="L401" i="12"/>
  <c r="L392" i="12"/>
  <c r="L383" i="12"/>
  <c r="L374" i="12"/>
  <c r="L365" i="12"/>
  <c r="L356" i="12"/>
  <c r="L345" i="12"/>
  <c r="L294" i="12"/>
  <c r="C34" i="14"/>
  <c r="L563" i="12"/>
  <c r="L499" i="12"/>
  <c r="L435" i="12"/>
  <c r="L371" i="12"/>
  <c r="L337" i="12"/>
  <c r="L328" i="12"/>
  <c r="L320" i="12"/>
  <c r="L311" i="12"/>
  <c r="L303" i="12"/>
  <c r="L293" i="12"/>
  <c r="L285" i="12"/>
  <c r="L276" i="12"/>
  <c r="L267" i="12"/>
  <c r="L259" i="12"/>
  <c r="L251" i="12"/>
  <c r="L243" i="12"/>
  <c r="L235" i="12"/>
  <c r="L227" i="12"/>
  <c r="L219" i="12"/>
  <c r="L211" i="12"/>
  <c r="L203" i="12"/>
  <c r="L195" i="12"/>
  <c r="L187" i="12"/>
  <c r="L179" i="12"/>
  <c r="L171" i="12"/>
  <c r="L163" i="12"/>
  <c r="L155" i="12"/>
  <c r="L147" i="12"/>
  <c r="L139" i="12"/>
  <c r="L131" i="12"/>
  <c r="L123" i="12"/>
  <c r="L115" i="12"/>
  <c r="L107" i="12"/>
  <c r="L99" i="12"/>
  <c r="L91" i="12"/>
  <c r="L83" i="12"/>
  <c r="L75" i="12"/>
  <c r="L67" i="12"/>
  <c r="L59" i="12"/>
  <c r="L51" i="12"/>
  <c r="L43" i="12"/>
  <c r="L35" i="12"/>
  <c r="L27" i="12"/>
  <c r="L19" i="12"/>
  <c r="L610" i="12"/>
  <c r="L601" i="12"/>
  <c r="L592" i="12"/>
  <c r="L583" i="12"/>
  <c r="L574" i="12"/>
  <c r="L565" i="12"/>
  <c r="L556" i="12"/>
  <c r="L546" i="12"/>
  <c r="L537" i="12"/>
  <c r="L528" i="12"/>
  <c r="L519" i="12"/>
  <c r="L510" i="12"/>
  <c r="L501" i="12"/>
  <c r="L492" i="12"/>
  <c r="L482" i="12"/>
  <c r="L473" i="12"/>
  <c r="L464" i="12"/>
  <c r="L455" i="12"/>
  <c r="L446" i="12"/>
  <c r="L437" i="12"/>
  <c r="L428" i="12"/>
  <c r="L418" i="12"/>
  <c r="L409" i="12"/>
  <c r="L400" i="12"/>
  <c r="L391" i="12"/>
  <c r="L382" i="12"/>
  <c r="L373" i="12"/>
  <c r="L364" i="12"/>
  <c r="L354" i="12"/>
  <c r="L344" i="12"/>
  <c r="L281" i="12"/>
  <c r="C33" i="14"/>
  <c r="L555" i="12"/>
  <c r="L491" i="12"/>
  <c r="L427" i="12"/>
  <c r="L363" i="12"/>
  <c r="L335" i="12"/>
  <c r="L327" i="12"/>
  <c r="L319" i="12"/>
  <c r="L310" i="12"/>
  <c r="L302" i="12"/>
  <c r="L292" i="12"/>
  <c r="L284" i="12"/>
  <c r="L275" i="12"/>
  <c r="L266" i="12"/>
  <c r="L258" i="12"/>
  <c r="L250" i="12"/>
  <c r="L242" i="12"/>
  <c r="L234" i="12"/>
  <c r="L226" i="12"/>
  <c r="L218" i="12"/>
  <c r="L210" i="12"/>
  <c r="L202" i="12"/>
  <c r="L194" i="12"/>
  <c r="L186" i="12"/>
  <c r="L178" i="12"/>
  <c r="L170" i="12"/>
  <c r="L162" i="12"/>
  <c r="L154" i="12"/>
  <c r="L146" i="12"/>
  <c r="L138" i="12"/>
  <c r="L130" i="12"/>
  <c r="L122" i="12"/>
  <c r="L114" i="12"/>
  <c r="L106" i="12"/>
  <c r="L98" i="12"/>
  <c r="L90" i="12"/>
  <c r="L82" i="12"/>
  <c r="L74" i="12"/>
  <c r="L66" i="12"/>
  <c r="L58" i="12"/>
  <c r="L50" i="12"/>
  <c r="L42" i="12"/>
  <c r="L34" i="12"/>
  <c r="L26" i="12"/>
  <c r="L18" i="12"/>
  <c r="L609" i="12"/>
  <c r="L600" i="12"/>
  <c r="L591" i="12"/>
  <c r="L582" i="12"/>
  <c r="L573" i="12"/>
  <c r="L564" i="12"/>
  <c r="L554" i="12"/>
  <c r="L545" i="12"/>
  <c r="L536" i="12"/>
  <c r="L527" i="12"/>
  <c r="L518" i="12"/>
  <c r="L509" i="12"/>
  <c r="L500" i="12"/>
  <c r="L490" i="12"/>
  <c r="L481" i="12"/>
  <c r="L472" i="12"/>
  <c r="L463" i="12"/>
  <c r="L454" i="12"/>
  <c r="L445" i="12"/>
  <c r="L436" i="12"/>
  <c r="L426" i="12"/>
  <c r="L417" i="12"/>
  <c r="L408" i="12"/>
  <c r="L399" i="12"/>
  <c r="L390" i="12"/>
  <c r="L381" i="12"/>
  <c r="L372" i="12"/>
  <c r="L362" i="12"/>
  <c r="L353" i="12"/>
  <c r="L343" i="12"/>
  <c r="L268" i="12"/>
  <c r="P12" i="15"/>
  <c r="P14" i="15"/>
  <c r="P13" i="15"/>
  <c r="C15" i="14"/>
  <c r="C14" i="14"/>
  <c r="D613" i="13"/>
  <c r="D549" i="13"/>
  <c r="D485" i="13"/>
  <c r="D421" i="13"/>
  <c r="D357" i="13"/>
  <c r="D293" i="13"/>
  <c r="D229" i="13"/>
  <c r="D165" i="13"/>
  <c r="D101" i="13"/>
  <c r="D30" i="13"/>
  <c r="D605" i="13"/>
  <c r="D541" i="13"/>
  <c r="D477" i="13"/>
  <c r="D413" i="13"/>
  <c r="D349" i="13"/>
  <c r="D285" i="13"/>
  <c r="D221" i="13"/>
  <c r="D157" i="13"/>
  <c r="D93" i="13"/>
  <c r="D20" i="13"/>
  <c r="D597" i="13"/>
  <c r="D533" i="13"/>
  <c r="D469" i="13"/>
  <c r="D405" i="13"/>
  <c r="D341" i="13"/>
  <c r="D277" i="13"/>
  <c r="D213" i="13"/>
  <c r="D149" i="13"/>
  <c r="D84" i="13"/>
  <c r="D589" i="13"/>
  <c r="D525" i="13"/>
  <c r="D461" i="13"/>
  <c r="D397" i="13"/>
  <c r="D333" i="13"/>
  <c r="D269" i="13"/>
  <c r="D205" i="13"/>
  <c r="D141" i="13"/>
  <c r="D75" i="13"/>
  <c r="D581" i="13"/>
  <c r="D517" i="13"/>
  <c r="D453" i="13"/>
  <c r="D389" i="13"/>
  <c r="D325" i="13"/>
  <c r="D261" i="13"/>
  <c r="D197" i="13"/>
  <c r="D133" i="13"/>
  <c r="D66" i="13"/>
  <c r="D573" i="13"/>
  <c r="D509" i="13"/>
  <c r="D445" i="13"/>
  <c r="D381" i="13"/>
  <c r="D317" i="13"/>
  <c r="D253" i="13"/>
  <c r="D189" i="13"/>
  <c r="D125" i="13"/>
  <c r="D57" i="13"/>
  <c r="D565" i="13"/>
  <c r="D501" i="13"/>
  <c r="D437" i="13"/>
  <c r="D373" i="13"/>
  <c r="D309" i="13"/>
  <c r="D245" i="13"/>
  <c r="D181" i="13"/>
  <c r="D117" i="13"/>
  <c r="D48" i="13"/>
  <c r="D557" i="13"/>
  <c r="D493" i="13"/>
  <c r="D429" i="13"/>
  <c r="D365" i="13"/>
  <c r="D301" i="13"/>
  <c r="D237" i="13"/>
  <c r="D173" i="13"/>
  <c r="D109" i="13"/>
  <c r="D39" i="13"/>
  <c r="D608" i="13"/>
  <c r="D600" i="13"/>
  <c r="D592" i="13"/>
  <c r="D584" i="13"/>
  <c r="D576" i="13"/>
  <c r="D568" i="13"/>
  <c r="D560" i="13"/>
  <c r="D552" i="13"/>
  <c r="D544" i="13"/>
  <c r="D536" i="13"/>
  <c r="D528" i="13"/>
  <c r="D520" i="13"/>
  <c r="D512" i="13"/>
  <c r="D504" i="13"/>
  <c r="D496" i="13"/>
  <c r="D488" i="13"/>
  <c r="D480" i="13"/>
  <c r="D472" i="13"/>
  <c r="D464" i="13"/>
  <c r="D456" i="13"/>
  <c r="D448" i="13"/>
  <c r="D440" i="13"/>
  <c r="D432" i="13"/>
  <c r="D424" i="13"/>
  <c r="D416" i="13"/>
  <c r="D408" i="13"/>
  <c r="D400" i="13"/>
  <c r="D392" i="13"/>
  <c r="D384" i="13"/>
  <c r="D376" i="13"/>
  <c r="D368" i="13"/>
  <c r="D360" i="13"/>
  <c r="D352" i="13"/>
  <c r="D344" i="13"/>
  <c r="D336" i="13"/>
  <c r="D328" i="13"/>
  <c r="D320" i="13"/>
  <c r="D312" i="13"/>
  <c r="D304" i="13"/>
  <c r="D296" i="13"/>
  <c r="D288" i="13"/>
  <c r="D280" i="13"/>
  <c r="D272" i="13"/>
  <c r="D264" i="13"/>
  <c r="D256" i="13"/>
  <c r="D248" i="13"/>
  <c r="D240" i="13"/>
  <c r="D232" i="13"/>
  <c r="D224" i="13"/>
  <c r="D216" i="13"/>
  <c r="D208" i="13"/>
  <c r="D200" i="13"/>
  <c r="D192" i="13"/>
  <c r="D184" i="13"/>
  <c r="D176" i="13"/>
  <c r="D168" i="13"/>
  <c r="D160" i="13"/>
  <c r="D152" i="13"/>
  <c r="D144" i="13"/>
  <c r="D136" i="13"/>
  <c r="D128" i="13"/>
  <c r="D120" i="13"/>
  <c r="D112" i="13"/>
  <c r="D104" i="13"/>
  <c r="D96" i="13"/>
  <c r="D88" i="13"/>
  <c r="D79" i="13"/>
  <c r="D70" i="13"/>
  <c r="D60" i="13"/>
  <c r="D51" i="13"/>
  <c r="D42" i="13"/>
  <c r="D33" i="13"/>
  <c r="D24" i="13"/>
  <c r="D15" i="13"/>
  <c r="D607" i="13"/>
  <c r="D599" i="13"/>
  <c r="D591" i="13"/>
  <c r="D583" i="13"/>
  <c r="D575" i="13"/>
  <c r="D567" i="13"/>
  <c r="D559" i="13"/>
  <c r="D551" i="13"/>
  <c r="D543" i="13"/>
  <c r="D535" i="13"/>
  <c r="D527" i="13"/>
  <c r="D519" i="13"/>
  <c r="D511" i="13"/>
  <c r="D503" i="13"/>
  <c r="D495" i="13"/>
  <c r="D487" i="13"/>
  <c r="D479" i="13"/>
  <c r="D471" i="13"/>
  <c r="D463" i="13"/>
  <c r="D455" i="13"/>
  <c r="D447" i="13"/>
  <c r="D439" i="13"/>
  <c r="D431" i="13"/>
  <c r="D423" i="13"/>
  <c r="D415" i="13"/>
  <c r="D407" i="13"/>
  <c r="D399" i="13"/>
  <c r="D391" i="13"/>
  <c r="D383" i="13"/>
  <c r="D375" i="13"/>
  <c r="D367" i="13"/>
  <c r="D359" i="13"/>
  <c r="D351" i="13"/>
  <c r="D343" i="13"/>
  <c r="D335" i="13"/>
  <c r="D327" i="13"/>
  <c r="D319" i="13"/>
  <c r="D311" i="13"/>
  <c r="D303" i="13"/>
  <c r="D295" i="13"/>
  <c r="D287" i="13"/>
  <c r="D279" i="13"/>
  <c r="D271" i="13"/>
  <c r="D263" i="13"/>
  <c r="D255" i="13"/>
  <c r="D247" i="13"/>
  <c r="D239" i="13"/>
  <c r="D231" i="13"/>
  <c r="D223" i="13"/>
  <c r="D215" i="13"/>
  <c r="D207" i="13"/>
  <c r="D199" i="13"/>
  <c r="D191" i="13"/>
  <c r="D183" i="13"/>
  <c r="D175" i="13"/>
  <c r="D167" i="13"/>
  <c r="D159" i="13"/>
  <c r="D151" i="13"/>
  <c r="D143" i="13"/>
  <c r="D135" i="13"/>
  <c r="D127" i="13"/>
  <c r="D119" i="13"/>
  <c r="D111" i="13"/>
  <c r="D103" i="13"/>
  <c r="D95" i="13"/>
  <c r="D87" i="13"/>
  <c r="D78" i="13"/>
  <c r="D68" i="13"/>
  <c r="D59" i="13"/>
  <c r="D50" i="13"/>
  <c r="D41" i="13"/>
  <c r="D32" i="13"/>
  <c r="D23" i="13"/>
  <c r="B13" i="13"/>
  <c r="C535" i="13"/>
  <c r="C427" i="13"/>
  <c r="C593" i="13"/>
  <c r="C108" i="13"/>
  <c r="C539" i="13"/>
  <c r="C433" i="13"/>
  <c r="C41" i="13"/>
  <c r="C544" i="13"/>
  <c r="C99" i="13"/>
  <c r="C549" i="13"/>
  <c r="C298" i="13"/>
  <c r="C221" i="13"/>
  <c r="C114" i="13"/>
  <c r="C226" i="13"/>
  <c r="C600" i="13"/>
  <c r="C118" i="13"/>
  <c r="C48" i="13"/>
  <c r="C231" i="13"/>
  <c r="C50" i="13"/>
  <c r="C304" i="13"/>
  <c r="C125" i="13"/>
  <c r="C307" i="13"/>
  <c r="C129" i="13"/>
  <c r="C564" i="13"/>
  <c r="C237" i="13"/>
  <c r="C311" i="13"/>
  <c r="C56" i="13"/>
  <c r="C314" i="13"/>
  <c r="C24" i="13"/>
  <c r="C247" i="13"/>
  <c r="C577" i="13"/>
  <c r="C140" i="13"/>
  <c r="C250" i="13"/>
  <c r="C580" i="13"/>
  <c r="C251" i="13"/>
  <c r="C145" i="13"/>
  <c r="C148" i="13"/>
  <c r="C150" i="13"/>
  <c r="C151" i="13"/>
  <c r="C581" i="13"/>
  <c r="C332" i="13"/>
  <c r="C155" i="13"/>
  <c r="C333" i="13"/>
  <c r="C157" i="13"/>
  <c r="C262" i="13"/>
  <c r="C339" i="13"/>
  <c r="C72" i="13"/>
  <c r="C487" i="13"/>
  <c r="C489" i="13"/>
  <c r="C491" i="13"/>
  <c r="C272" i="13"/>
  <c r="C350" i="13"/>
  <c r="C168" i="13"/>
  <c r="C507" i="13"/>
  <c r="C105" i="13"/>
  <c r="C513" i="13"/>
  <c r="C515" i="13"/>
  <c r="C82" i="13"/>
  <c r="C360" i="13"/>
  <c r="C366" i="13"/>
  <c r="C370" i="13"/>
  <c r="C182" i="13"/>
  <c r="C377" i="13"/>
  <c r="C523" i="13"/>
  <c r="C524" i="13"/>
  <c r="C191" i="13"/>
  <c r="C93" i="13"/>
  <c r="C529" i="13"/>
  <c r="C197" i="13"/>
  <c r="C399" i="13"/>
  <c r="C275" i="13"/>
  <c r="C408" i="13"/>
  <c r="C533" i="13"/>
  <c r="C37" i="13"/>
  <c r="C209" i="13"/>
  <c r="C426" i="13"/>
  <c r="C428" i="13"/>
  <c r="C537" i="13"/>
  <c r="C594" i="13"/>
  <c r="C430" i="13"/>
  <c r="C542" i="13"/>
  <c r="C111" i="13"/>
  <c r="C43" i="13"/>
  <c r="C547" i="13"/>
  <c r="C612" i="13"/>
  <c r="C550" i="13"/>
  <c r="C222" i="13"/>
  <c r="C445" i="13"/>
  <c r="C101" i="13"/>
  <c r="C447" i="13"/>
  <c r="C302" i="13"/>
  <c r="C555" i="13"/>
  <c r="C603" i="13"/>
  <c r="C559" i="13"/>
  <c r="C560" i="13"/>
  <c r="C234" i="13"/>
  <c r="C282" i="13"/>
  <c r="C459" i="13"/>
  <c r="C565" i="13"/>
  <c r="C567" i="13"/>
  <c r="C570" i="13"/>
  <c r="C242" i="13"/>
  <c r="C57" i="13"/>
  <c r="C244" i="13"/>
  <c r="C317" i="13"/>
  <c r="C137" i="13"/>
  <c r="C578" i="13"/>
  <c r="C320" i="13"/>
  <c r="C606" i="13"/>
  <c r="C252" i="13"/>
  <c r="C471" i="13"/>
  <c r="C324" i="13"/>
  <c r="C326" i="13"/>
  <c r="C329" i="13"/>
  <c r="C65" i="13"/>
  <c r="C66" i="13"/>
  <c r="C67" i="13"/>
  <c r="C334" i="13"/>
  <c r="C158" i="13"/>
  <c r="C263" i="13"/>
  <c r="C340" i="13"/>
  <c r="C266" i="13"/>
  <c r="C163" i="13"/>
  <c r="C346" i="13"/>
  <c r="C492" i="13"/>
  <c r="C495" i="13"/>
  <c r="C500" i="13"/>
  <c r="C504" i="13"/>
  <c r="C77" i="13"/>
  <c r="C510" i="13"/>
  <c r="C514" i="13"/>
  <c r="C274" i="13"/>
  <c r="C359" i="13"/>
  <c r="C177" i="13"/>
  <c r="C179" i="13"/>
  <c r="C180" i="13"/>
  <c r="C183" i="13"/>
  <c r="C378" i="13"/>
  <c r="C381" i="13"/>
  <c r="C385" i="13"/>
  <c r="C388" i="13"/>
  <c r="C94" i="13"/>
  <c r="C394" i="13"/>
  <c r="C198" i="13"/>
  <c r="C400" i="13"/>
  <c r="C405" i="13"/>
  <c r="C409" i="13"/>
  <c r="C414" i="13"/>
  <c r="C208" i="13"/>
  <c r="C422" i="13"/>
  <c r="C39" i="13"/>
  <c r="C19" i="13"/>
  <c r="C538" i="13"/>
  <c r="C109" i="13"/>
  <c r="C293" i="13"/>
  <c r="C434" i="13"/>
  <c r="C21" i="13"/>
  <c r="C440" i="13"/>
  <c r="C112" i="13"/>
  <c r="C13" i="13"/>
  <c r="C299" i="13"/>
  <c r="C223" i="13"/>
  <c r="C225" i="13"/>
  <c r="C116" i="13"/>
  <c r="C448" i="13"/>
  <c r="C279" i="13"/>
  <c r="C120" i="13"/>
  <c r="C451" i="13"/>
  <c r="C604" i="13"/>
  <c r="C454" i="13"/>
  <c r="C306" i="13"/>
  <c r="C235" i="13"/>
  <c r="C53" i="13"/>
  <c r="C131" i="13"/>
  <c r="C568" i="13"/>
  <c r="C312" i="13"/>
  <c r="C16" i="13"/>
  <c r="C573" i="13"/>
  <c r="C134" i="13"/>
  <c r="C248" i="13"/>
  <c r="C138" i="13"/>
  <c r="C319" i="13"/>
  <c r="C102" i="13"/>
  <c r="C321" i="13"/>
  <c r="C469" i="13"/>
  <c r="C323" i="13"/>
  <c r="C29" i="13"/>
  <c r="C327" i="13"/>
  <c r="C474" i="13"/>
  <c r="C582" i="13"/>
  <c r="C477" i="13"/>
  <c r="C68" i="13"/>
  <c r="C69" i="13"/>
  <c r="C481" i="13"/>
  <c r="C159" i="13"/>
  <c r="C265" i="13"/>
  <c r="C341" i="13"/>
  <c r="C343" i="13"/>
  <c r="C74" i="13"/>
  <c r="C270" i="13"/>
  <c r="C496" i="13"/>
  <c r="C351" i="13"/>
  <c r="C352" i="13"/>
  <c r="C508" i="13"/>
  <c r="C171" i="13"/>
  <c r="C590" i="13"/>
  <c r="C516" i="13"/>
  <c r="C83" i="13"/>
  <c r="C361" i="13"/>
  <c r="C367" i="13"/>
  <c r="C371" i="13"/>
  <c r="C374" i="13"/>
  <c r="C87" i="13"/>
  <c r="C187" i="13"/>
  <c r="C386" i="13"/>
  <c r="C192" i="13"/>
  <c r="C34" i="13"/>
  <c r="C35" i="13"/>
  <c r="C396" i="13"/>
  <c r="C201" i="13"/>
  <c r="C202" i="13"/>
  <c r="C410" i="13"/>
  <c r="C415" i="13"/>
  <c r="C96" i="13"/>
  <c r="C423" i="13"/>
  <c r="C286" i="13"/>
  <c r="C592" i="13"/>
  <c r="C290" i="13"/>
  <c r="C292" i="13"/>
  <c r="C431" i="13"/>
  <c r="C435" i="13"/>
  <c r="C437" i="13"/>
  <c r="C545" i="13"/>
  <c r="C548" i="13"/>
  <c r="C297" i="13"/>
  <c r="C596" i="13"/>
  <c r="C224" i="13"/>
  <c r="C115" i="13"/>
  <c r="C613" i="13"/>
  <c r="C117" i="13"/>
  <c r="C602" i="13"/>
  <c r="C557" i="13"/>
  <c r="C232" i="13"/>
  <c r="C305" i="13"/>
  <c r="C456" i="13"/>
  <c r="C128" i="13"/>
  <c r="C130" i="13"/>
  <c r="C54" i="13"/>
  <c r="C569" i="13"/>
  <c r="C571" i="13"/>
  <c r="C14" i="13"/>
  <c r="C315" i="13"/>
  <c r="C245" i="13"/>
  <c r="C135" i="13"/>
  <c r="C318" i="13"/>
  <c r="C141" i="13"/>
  <c r="C61" i="13"/>
  <c r="C143" i="13"/>
  <c r="C253" i="13"/>
  <c r="C27" i="13"/>
  <c r="C472" i="13"/>
  <c r="C256" i="13"/>
  <c r="C330" i="13"/>
  <c r="C331" i="13"/>
  <c r="C258" i="13"/>
  <c r="C260" i="13"/>
  <c r="C335" i="13"/>
  <c r="C336" i="13"/>
  <c r="C264" i="13"/>
  <c r="C484" i="13"/>
  <c r="C267" i="13"/>
  <c r="C344" i="13"/>
  <c r="C164" i="13"/>
  <c r="C493" i="13"/>
  <c r="C497" i="13"/>
  <c r="C501" i="13"/>
  <c r="C505" i="13"/>
  <c r="C353" i="13"/>
  <c r="C356" i="13"/>
  <c r="C79" i="13"/>
  <c r="C174" i="13"/>
  <c r="C518" i="13"/>
  <c r="C178" i="13"/>
  <c r="C368" i="13"/>
  <c r="C372" i="13"/>
  <c r="C375" i="13"/>
  <c r="C33" i="13"/>
  <c r="C90" i="13"/>
  <c r="C188" i="13"/>
  <c r="C389" i="13"/>
  <c r="C527" i="13"/>
  <c r="C395" i="13"/>
  <c r="C199" i="13"/>
  <c r="C401" i="13"/>
  <c r="C532" i="13"/>
  <c r="C204" i="13"/>
  <c r="C416" i="13"/>
  <c r="C418" i="13"/>
  <c r="C424" i="13"/>
  <c r="C40" i="13"/>
  <c r="C289" i="13"/>
  <c r="C214" i="13"/>
  <c r="C98" i="13"/>
  <c r="C540" i="13"/>
  <c r="C277" i="13"/>
  <c r="C438" i="13"/>
  <c r="C441" i="13"/>
  <c r="C295" i="13"/>
  <c r="C220" i="13"/>
  <c r="C443" i="13"/>
  <c r="C300" i="13"/>
  <c r="C553" i="13"/>
  <c r="C227" i="13"/>
  <c r="C601" i="13"/>
  <c r="C280" i="13"/>
  <c r="C230" i="13"/>
  <c r="C281" i="13"/>
  <c r="C452" i="13"/>
  <c r="C124" i="13"/>
  <c r="C126" i="13"/>
  <c r="C457" i="13"/>
  <c r="C460" i="13"/>
  <c r="C309" i="13"/>
  <c r="C238" i="13"/>
  <c r="C241" i="13"/>
  <c r="C313" i="13"/>
  <c r="C574" i="13"/>
  <c r="C246" i="13"/>
  <c r="C136" i="13"/>
  <c r="C466" i="13"/>
  <c r="C467" i="13"/>
  <c r="C284" i="13"/>
  <c r="C103" i="13"/>
  <c r="C470" i="13"/>
  <c r="C146" i="13"/>
  <c r="C608" i="13"/>
  <c r="C63" i="13"/>
  <c r="C257" i="13"/>
  <c r="C18" i="13"/>
  <c r="C154" i="13"/>
  <c r="C478" i="13"/>
  <c r="C70" i="13"/>
  <c r="C337" i="13"/>
  <c r="C104" i="13"/>
  <c r="C587" i="13"/>
  <c r="C268" i="13"/>
  <c r="C73" i="13"/>
  <c r="C347" i="13"/>
  <c r="C494" i="13"/>
  <c r="C349" i="13"/>
  <c r="C588" i="13"/>
  <c r="C169" i="13"/>
  <c r="C610" i="13"/>
  <c r="C511" i="13"/>
  <c r="C80" i="13"/>
  <c r="C175" i="13"/>
  <c r="C176" i="13"/>
  <c r="C362" i="13"/>
  <c r="C85" i="13"/>
  <c r="C181" i="13"/>
  <c r="C184" i="13"/>
  <c r="C88" i="13"/>
  <c r="C382" i="13"/>
  <c r="C387" i="13"/>
  <c r="C92" i="13"/>
  <c r="C528" i="13"/>
  <c r="C194" i="13"/>
  <c r="C95" i="13"/>
  <c r="C402" i="13"/>
  <c r="C36" i="13"/>
  <c r="C411" i="13"/>
  <c r="C205" i="13"/>
  <c r="C97" i="13"/>
  <c r="C210" i="13"/>
  <c r="C107" i="13"/>
  <c r="C429" i="13"/>
  <c r="C15" i="13"/>
  <c r="C20" i="13"/>
  <c r="C432" i="13"/>
  <c r="C436" i="13"/>
  <c r="C42" i="13"/>
  <c r="C546" i="13"/>
  <c r="C296" i="13"/>
  <c r="C595" i="13"/>
  <c r="C551" i="13"/>
  <c r="C100" i="13"/>
  <c r="C598" i="13"/>
  <c r="C301" i="13"/>
  <c r="C46" i="13"/>
  <c r="C47" i="13"/>
  <c r="C450" i="13"/>
  <c r="C49" i="13"/>
  <c r="C453" i="13"/>
  <c r="C455" i="13"/>
  <c r="C127" i="13"/>
  <c r="C458" i="13"/>
  <c r="C308" i="13"/>
  <c r="C462" i="13"/>
  <c r="C239" i="13"/>
  <c r="C572" i="13"/>
  <c r="C133" i="13"/>
  <c r="C58" i="13"/>
  <c r="C59" i="13"/>
  <c r="C575" i="13"/>
  <c r="C283" i="13"/>
  <c r="C142" i="13"/>
  <c r="C26" i="13"/>
  <c r="C144" i="13"/>
  <c r="C17" i="13"/>
  <c r="C255" i="13"/>
  <c r="C473" i="13"/>
  <c r="C30" i="13"/>
  <c r="C475" i="13"/>
  <c r="C152" i="13"/>
  <c r="C259" i="13"/>
  <c r="C584" i="13"/>
  <c r="C32" i="13"/>
  <c r="C338" i="13"/>
  <c r="C482" i="13"/>
  <c r="C485" i="13"/>
  <c r="C162" i="13"/>
  <c r="C269" i="13"/>
  <c r="C165" i="13"/>
  <c r="C348" i="13"/>
  <c r="C498" i="13"/>
  <c r="C589" i="13"/>
  <c r="C506" i="13"/>
  <c r="C354" i="13"/>
  <c r="C78" i="13"/>
  <c r="C273" i="13"/>
  <c r="C517" i="13"/>
  <c r="C84" i="13"/>
  <c r="C363" i="13"/>
  <c r="C369" i="13"/>
  <c r="C521" i="13"/>
  <c r="C185" i="13"/>
  <c r="C89" i="13"/>
  <c r="C383" i="13"/>
  <c r="C525" i="13"/>
  <c r="C526" i="13"/>
  <c r="C392" i="13"/>
  <c r="C195" i="13"/>
  <c r="C397" i="13"/>
  <c r="C403" i="13"/>
  <c r="C203" i="13"/>
  <c r="C412" i="13"/>
  <c r="C417" i="13"/>
  <c r="C419" i="13"/>
  <c r="C211" i="13"/>
  <c r="C611" i="13"/>
  <c r="C536" i="13"/>
  <c r="C291" i="13"/>
  <c r="C215" i="13"/>
  <c r="C110" i="13"/>
  <c r="C543" i="13"/>
  <c r="C218" i="13"/>
  <c r="C442" i="13"/>
  <c r="C44" i="13"/>
  <c r="C22" i="13"/>
  <c r="C552" i="13"/>
  <c r="C597" i="13"/>
  <c r="C554" i="13"/>
  <c r="C599" i="13"/>
  <c r="C228" i="13"/>
  <c r="C229" i="13"/>
  <c r="C121" i="13"/>
  <c r="C122" i="13"/>
  <c r="C123" i="13"/>
  <c r="C233" i="13"/>
  <c r="C562" i="13"/>
  <c r="C52" i="13"/>
  <c r="C461" i="13"/>
  <c r="C55" i="13"/>
  <c r="C240" i="13"/>
  <c r="C132" i="13"/>
  <c r="C23" i="13"/>
  <c r="C243" i="13"/>
  <c r="C60" i="13"/>
  <c r="C605" i="13"/>
  <c r="C139" i="13"/>
  <c r="C249" i="13"/>
  <c r="C62" i="13"/>
  <c r="C607" i="13"/>
  <c r="C254" i="13"/>
  <c r="C28" i="13"/>
  <c r="C325" i="13"/>
  <c r="C64" i="13"/>
  <c r="C609" i="13"/>
  <c r="C476" i="13"/>
  <c r="C583" i="13"/>
  <c r="C479" i="13"/>
  <c r="C156" i="13"/>
  <c r="C71" i="13"/>
  <c r="C483" i="13"/>
  <c r="C160" i="13"/>
  <c r="C486" i="13"/>
  <c r="C488" i="13"/>
  <c r="C490" i="13"/>
  <c r="C271" i="13"/>
  <c r="C499" i="13"/>
  <c r="C502" i="13"/>
  <c r="C170" i="13"/>
  <c r="C355" i="13"/>
  <c r="C172" i="13"/>
  <c r="C81" i="13"/>
  <c r="C357" i="13"/>
  <c r="C519" i="13"/>
  <c r="C364" i="13"/>
  <c r="C86" i="13"/>
  <c r="C373" i="13"/>
  <c r="C376" i="13"/>
  <c r="C379" i="13"/>
  <c r="C384" i="13"/>
  <c r="C189" i="13"/>
  <c r="C390" i="13"/>
  <c r="C393" i="13"/>
  <c r="C530" i="13"/>
  <c r="C200" i="13"/>
  <c r="C531" i="13"/>
  <c r="C406" i="13"/>
  <c r="C591" i="13"/>
  <c r="C206" i="13"/>
  <c r="C420" i="13"/>
  <c r="C425" i="13"/>
  <c r="D21" i="13"/>
  <c r="D29" i="13"/>
  <c r="D37" i="13"/>
  <c r="D45" i="13"/>
  <c r="D53" i="13"/>
  <c r="D61" i="13"/>
  <c r="D69" i="13"/>
  <c r="D77" i="13"/>
  <c r="D85" i="13"/>
  <c r="C288" i="13"/>
  <c r="C213" i="13"/>
  <c r="C276" i="13"/>
  <c r="C216" i="13"/>
  <c r="C541" i="13"/>
  <c r="C217" i="13"/>
  <c r="C439" i="13"/>
  <c r="C294" i="13"/>
  <c r="C219" i="13"/>
  <c r="C278" i="13"/>
  <c r="C113" i="13"/>
  <c r="C444" i="13"/>
  <c r="C45" i="13"/>
  <c r="C446" i="13"/>
  <c r="C449" i="13"/>
  <c r="C119" i="13"/>
  <c r="C556" i="13"/>
  <c r="C558" i="13"/>
  <c r="C303" i="13"/>
  <c r="C561" i="13"/>
  <c r="C51" i="13"/>
  <c r="C563" i="13"/>
  <c r="C236" i="13"/>
  <c r="C566" i="13"/>
  <c r="C310" i="13"/>
  <c r="C463" i="13"/>
  <c r="C464" i="13"/>
  <c r="C316" i="13"/>
  <c r="C465" i="13"/>
  <c r="C576" i="13"/>
  <c r="C25" i="13"/>
  <c r="C468" i="13"/>
  <c r="C579" i="13"/>
  <c r="C322" i="13"/>
  <c r="C285" i="13"/>
  <c r="C147" i="13"/>
  <c r="C149" i="13"/>
  <c r="C328" i="13"/>
  <c r="C38" i="13"/>
  <c r="C153" i="13"/>
  <c r="C31" i="13"/>
  <c r="C261" i="13"/>
  <c r="C480" i="13"/>
  <c r="C585" i="13"/>
  <c r="C586" i="13"/>
  <c r="C161" i="13"/>
  <c r="C342" i="13"/>
  <c r="C345" i="13"/>
  <c r="C166" i="13"/>
  <c r="C75" i="13"/>
  <c r="C167" i="13"/>
  <c r="C503" i="13"/>
  <c r="C76" i="13"/>
  <c r="C509" i="13"/>
  <c r="C512" i="13"/>
  <c r="C173" i="13"/>
  <c r="C358" i="13"/>
  <c r="C520" i="13"/>
  <c r="C365" i="13"/>
  <c r="C106" i="13"/>
  <c r="C522" i="13"/>
  <c r="C186" i="13"/>
  <c r="C380" i="13"/>
  <c r="C91" i="13"/>
  <c r="C190" i="13"/>
  <c r="C391" i="13"/>
  <c r="C193" i="13"/>
  <c r="C196" i="13"/>
  <c r="C398" i="13"/>
  <c r="C404" i="13"/>
  <c r="C407" i="13"/>
  <c r="C413" i="13"/>
  <c r="C207" i="13"/>
  <c r="C421" i="13"/>
  <c r="C212" i="13"/>
  <c r="D606" i="13"/>
  <c r="D598" i="13"/>
  <c r="D590" i="13"/>
  <c r="D582" i="13"/>
  <c r="D574" i="13"/>
  <c r="D566" i="13"/>
  <c r="D558" i="13"/>
  <c r="D550" i="13"/>
  <c r="D542" i="13"/>
  <c r="D534" i="13"/>
  <c r="D526" i="13"/>
  <c r="D518" i="13"/>
  <c r="D510" i="13"/>
  <c r="D502" i="13"/>
  <c r="D494" i="13"/>
  <c r="D486" i="13"/>
  <c r="D478" i="13"/>
  <c r="D470" i="13"/>
  <c r="D462" i="13"/>
  <c r="D454" i="13"/>
  <c r="D446" i="13"/>
  <c r="D438" i="13"/>
  <c r="D430" i="13"/>
  <c r="D422" i="13"/>
  <c r="D414" i="13"/>
  <c r="D406" i="13"/>
  <c r="D398" i="13"/>
  <c r="D390" i="13"/>
  <c r="D382" i="13"/>
  <c r="D374" i="13"/>
  <c r="D366" i="13"/>
  <c r="D358" i="13"/>
  <c r="D350" i="13"/>
  <c r="D342" i="13"/>
  <c r="D334" i="13"/>
  <c r="D326" i="13"/>
  <c r="D318" i="13"/>
  <c r="D310" i="13"/>
  <c r="D302" i="13"/>
  <c r="D294" i="13"/>
  <c r="D286" i="13"/>
  <c r="D278" i="13"/>
  <c r="D270" i="13"/>
  <c r="D262" i="13"/>
  <c r="D254" i="13"/>
  <c r="D246" i="13"/>
  <c r="D238" i="13"/>
  <c r="D230" i="13"/>
  <c r="D222" i="13"/>
  <c r="D214" i="13"/>
  <c r="D206" i="13"/>
  <c r="D198" i="13"/>
  <c r="D190" i="13"/>
  <c r="D182" i="13"/>
  <c r="D174" i="13"/>
  <c r="D166" i="13"/>
  <c r="D158" i="13"/>
  <c r="D150" i="13"/>
  <c r="D142" i="13"/>
  <c r="D134" i="13"/>
  <c r="D126" i="13"/>
  <c r="D118" i="13"/>
  <c r="D110" i="13"/>
  <c r="D102" i="13"/>
  <c r="D94" i="13"/>
  <c r="D86" i="13"/>
  <c r="D76" i="13"/>
  <c r="D67" i="13"/>
  <c r="D58" i="13"/>
  <c r="D49" i="13"/>
  <c r="D40" i="13"/>
  <c r="D31" i="13"/>
  <c r="D22" i="13"/>
  <c r="D612" i="13"/>
  <c r="D604" i="13"/>
  <c r="D596" i="13"/>
  <c r="D588" i="13"/>
  <c r="D580" i="13"/>
  <c r="D572" i="13"/>
  <c r="D564" i="13"/>
  <c r="D556" i="13"/>
  <c r="D548" i="13"/>
  <c r="D540" i="13"/>
  <c r="D532" i="13"/>
  <c r="D524" i="13"/>
  <c r="D516" i="13"/>
  <c r="D508" i="13"/>
  <c r="D500" i="13"/>
  <c r="D492" i="13"/>
  <c r="D484" i="13"/>
  <c r="D476" i="13"/>
  <c r="D468" i="13"/>
  <c r="D460" i="13"/>
  <c r="D452" i="13"/>
  <c r="D444" i="13"/>
  <c r="D436" i="13"/>
  <c r="D428" i="13"/>
  <c r="D420" i="13"/>
  <c r="D412" i="13"/>
  <c r="D404" i="13"/>
  <c r="D396" i="13"/>
  <c r="D388" i="13"/>
  <c r="D380" i="13"/>
  <c r="D372" i="13"/>
  <c r="D364" i="13"/>
  <c r="D356" i="13"/>
  <c r="D348" i="13"/>
  <c r="D340" i="13"/>
  <c r="D332" i="13"/>
  <c r="D324" i="13"/>
  <c r="D316" i="13"/>
  <c r="D308" i="13"/>
  <c r="D300" i="13"/>
  <c r="D292" i="13"/>
  <c r="D284" i="13"/>
  <c r="D276" i="13"/>
  <c r="D268" i="13"/>
  <c r="D260" i="13"/>
  <c r="D252" i="13"/>
  <c r="D244" i="13"/>
  <c r="D236" i="13"/>
  <c r="D228" i="13"/>
  <c r="D220" i="13"/>
  <c r="D212" i="13"/>
  <c r="D204" i="13"/>
  <c r="D196" i="13"/>
  <c r="D188" i="13"/>
  <c r="D180" i="13"/>
  <c r="D172" i="13"/>
  <c r="D164" i="13"/>
  <c r="D156" i="13"/>
  <c r="D148" i="13"/>
  <c r="D140" i="13"/>
  <c r="D132" i="13"/>
  <c r="D124" i="13"/>
  <c r="D116" i="13"/>
  <c r="D108" i="13"/>
  <c r="D100" i="13"/>
  <c r="D92" i="13"/>
  <c r="D83" i="13"/>
  <c r="D74" i="13"/>
  <c r="D65" i="13"/>
  <c r="D56" i="13"/>
  <c r="D47" i="13"/>
  <c r="D38" i="13"/>
  <c r="D28" i="13"/>
  <c r="D19" i="13"/>
  <c r="D611" i="13"/>
  <c r="D603" i="13"/>
  <c r="D595" i="13"/>
  <c r="D587" i="13"/>
  <c r="D579" i="13"/>
  <c r="D571" i="13"/>
  <c r="D563" i="13"/>
  <c r="D555" i="13"/>
  <c r="D547" i="13"/>
  <c r="D539" i="13"/>
  <c r="D531" i="13"/>
  <c r="D523" i="13"/>
  <c r="D515" i="13"/>
  <c r="D507" i="13"/>
  <c r="D499" i="13"/>
  <c r="D491" i="13"/>
  <c r="D483" i="13"/>
  <c r="D475" i="13"/>
  <c r="D467" i="13"/>
  <c r="D459" i="13"/>
  <c r="D451" i="13"/>
  <c r="D443" i="13"/>
  <c r="D435" i="13"/>
  <c r="D427" i="13"/>
  <c r="D419" i="13"/>
  <c r="D411" i="13"/>
  <c r="D403" i="13"/>
  <c r="D395" i="13"/>
  <c r="D387" i="13"/>
  <c r="D379" i="13"/>
  <c r="D371" i="13"/>
  <c r="D363" i="13"/>
  <c r="D355" i="13"/>
  <c r="D347" i="13"/>
  <c r="D339" i="13"/>
  <c r="D331" i="13"/>
  <c r="D323" i="13"/>
  <c r="D315" i="13"/>
  <c r="D307" i="13"/>
  <c r="D299" i="13"/>
  <c r="D291" i="13"/>
  <c r="D283" i="13"/>
  <c r="D275" i="13"/>
  <c r="D267" i="13"/>
  <c r="D259" i="13"/>
  <c r="D251" i="13"/>
  <c r="D243" i="13"/>
  <c r="D235" i="13"/>
  <c r="D227" i="13"/>
  <c r="D219" i="13"/>
  <c r="D211" i="13"/>
  <c r="D203" i="13"/>
  <c r="D195" i="13"/>
  <c r="D187" i="13"/>
  <c r="D179" i="13"/>
  <c r="D171" i="13"/>
  <c r="D163" i="13"/>
  <c r="D155" i="13"/>
  <c r="D147" i="13"/>
  <c r="D139" i="13"/>
  <c r="D131" i="13"/>
  <c r="D123" i="13"/>
  <c r="D115" i="13"/>
  <c r="D107" i="13"/>
  <c r="D99" i="13"/>
  <c r="D91" i="13"/>
  <c r="D82" i="13"/>
  <c r="D73" i="13"/>
  <c r="D64" i="13"/>
  <c r="D55" i="13"/>
  <c r="D46" i="13"/>
  <c r="D36" i="13"/>
  <c r="D27" i="13"/>
  <c r="D18" i="13"/>
  <c r="D610" i="13"/>
  <c r="D602" i="13"/>
  <c r="D594" i="13"/>
  <c r="D586" i="13"/>
  <c r="D578" i="13"/>
  <c r="D570" i="13"/>
  <c r="D562" i="13"/>
  <c r="D554" i="13"/>
  <c r="D546" i="13"/>
  <c r="D538" i="13"/>
  <c r="D530" i="13"/>
  <c r="D522" i="13"/>
  <c r="D514" i="13"/>
  <c r="D506" i="13"/>
  <c r="D498" i="13"/>
  <c r="D490" i="13"/>
  <c r="D482" i="13"/>
  <c r="D474" i="13"/>
  <c r="D466" i="13"/>
  <c r="D458" i="13"/>
  <c r="D450" i="13"/>
  <c r="D442" i="13"/>
  <c r="D434" i="13"/>
  <c r="D426" i="13"/>
  <c r="D418" i="13"/>
  <c r="D410" i="13"/>
  <c r="D402" i="13"/>
  <c r="D394" i="13"/>
  <c r="D386" i="13"/>
  <c r="D378" i="13"/>
  <c r="D370" i="13"/>
  <c r="D362" i="13"/>
  <c r="D354" i="13"/>
  <c r="D346" i="13"/>
  <c r="D338" i="13"/>
  <c r="D330" i="13"/>
  <c r="D322" i="13"/>
  <c r="D314" i="13"/>
  <c r="D306" i="13"/>
  <c r="D298" i="13"/>
  <c r="D290" i="13"/>
  <c r="D282" i="13"/>
  <c r="D274" i="13"/>
  <c r="D266" i="13"/>
  <c r="D258" i="13"/>
  <c r="D250" i="13"/>
  <c r="D242" i="13"/>
  <c r="D234" i="13"/>
  <c r="D226" i="13"/>
  <c r="D218" i="13"/>
  <c r="D210" i="13"/>
  <c r="D202" i="13"/>
  <c r="D194" i="13"/>
  <c r="D186" i="13"/>
  <c r="D178" i="13"/>
  <c r="D170" i="13"/>
  <c r="D162" i="13"/>
  <c r="D154" i="13"/>
  <c r="D146" i="13"/>
  <c r="D138" i="13"/>
  <c r="D130" i="13"/>
  <c r="D122" i="13"/>
  <c r="D114" i="13"/>
  <c r="D106" i="13"/>
  <c r="D98" i="13"/>
  <c r="D90" i="13"/>
  <c r="D81" i="13"/>
  <c r="D72" i="13"/>
  <c r="D63" i="13"/>
  <c r="D54" i="13"/>
  <c r="D44" i="13"/>
  <c r="D35" i="13"/>
  <c r="D26" i="13"/>
  <c r="D17" i="13"/>
  <c r="D609" i="13"/>
  <c r="D601" i="13"/>
  <c r="D593" i="13"/>
  <c r="D585" i="13"/>
  <c r="D577" i="13"/>
  <c r="D569" i="13"/>
  <c r="D561" i="13"/>
  <c r="D553" i="13"/>
  <c r="D545" i="13"/>
  <c r="D537" i="13"/>
  <c r="D529" i="13"/>
  <c r="D521" i="13"/>
  <c r="D513" i="13"/>
  <c r="D505" i="13"/>
  <c r="D497" i="13"/>
  <c r="D489" i="13"/>
  <c r="D481" i="13"/>
  <c r="D473" i="13"/>
  <c r="D465" i="13"/>
  <c r="D457" i="13"/>
  <c r="D449" i="13"/>
  <c r="D441" i="13"/>
  <c r="D433" i="13"/>
  <c r="D425" i="13"/>
  <c r="D417" i="13"/>
  <c r="D409" i="13"/>
  <c r="D401" i="13"/>
  <c r="D393" i="13"/>
  <c r="D385" i="13"/>
  <c r="D377" i="13"/>
  <c r="D369" i="13"/>
  <c r="D361" i="13"/>
  <c r="D353" i="13"/>
  <c r="D345" i="13"/>
  <c r="D337" i="13"/>
  <c r="D329" i="13"/>
  <c r="D321" i="13"/>
  <c r="D313" i="13"/>
  <c r="D305" i="13"/>
  <c r="D297" i="13"/>
  <c r="D289" i="13"/>
  <c r="D281" i="13"/>
  <c r="D273" i="13"/>
  <c r="D265" i="13"/>
  <c r="D257" i="13"/>
  <c r="D249" i="13"/>
  <c r="D241" i="13"/>
  <c r="D233" i="13"/>
  <c r="D225" i="13"/>
  <c r="D217" i="13"/>
  <c r="D209" i="13"/>
  <c r="D201" i="13"/>
  <c r="D193" i="13"/>
  <c r="D185" i="13"/>
  <c r="D177" i="13"/>
  <c r="D169" i="13"/>
  <c r="D161" i="13"/>
  <c r="D153" i="13"/>
  <c r="D145" i="13"/>
  <c r="D137" i="13"/>
  <c r="D129" i="13"/>
  <c r="D121" i="13"/>
  <c r="D113" i="13"/>
  <c r="D105" i="13"/>
  <c r="D97" i="13"/>
  <c r="D89" i="13"/>
  <c r="D80" i="13"/>
  <c r="D71" i="13"/>
  <c r="D62" i="13"/>
  <c r="D52" i="13"/>
  <c r="D43" i="13"/>
  <c r="D34" i="13"/>
  <c r="D25" i="13"/>
  <c r="D16" i="13"/>
  <c r="D585" i="12"/>
  <c r="C585" i="12"/>
  <c r="D579" i="12"/>
  <c r="C579" i="12"/>
  <c r="D550" i="12"/>
  <c r="C550" i="12"/>
  <c r="D409" i="12"/>
  <c r="C409" i="12"/>
  <c r="C371" i="12"/>
  <c r="D371" i="12"/>
  <c r="D581" i="12"/>
  <c r="C581" i="12"/>
  <c r="D578" i="12"/>
  <c r="C578" i="12"/>
  <c r="D576" i="12"/>
  <c r="C576" i="12"/>
  <c r="D551" i="12"/>
  <c r="C551" i="12"/>
  <c r="D545" i="12"/>
  <c r="C545" i="12"/>
  <c r="D538" i="12"/>
  <c r="C538" i="12"/>
  <c r="D531" i="12"/>
  <c r="C531" i="12"/>
  <c r="D526" i="12"/>
  <c r="C526" i="12"/>
  <c r="C519" i="12"/>
  <c r="D519" i="12"/>
  <c r="D502" i="12"/>
  <c r="C502" i="12"/>
  <c r="D497" i="12"/>
  <c r="C497" i="12"/>
  <c r="D489" i="12"/>
  <c r="C489" i="12"/>
  <c r="D481" i="12"/>
  <c r="C481" i="12"/>
  <c r="D461" i="12"/>
  <c r="C461" i="12"/>
  <c r="D458" i="12"/>
  <c r="C458" i="12"/>
  <c r="D445" i="12"/>
  <c r="C445" i="12"/>
  <c r="D436" i="12"/>
  <c r="C436" i="12"/>
  <c r="D428" i="12"/>
  <c r="C428" i="12"/>
  <c r="D294" i="12"/>
  <c r="C294" i="12"/>
  <c r="D240" i="12"/>
  <c r="C240" i="12"/>
  <c r="D192" i="12"/>
  <c r="C192" i="12"/>
  <c r="D100" i="12"/>
  <c r="C100" i="12"/>
  <c r="D70" i="12"/>
  <c r="C70" i="12"/>
  <c r="D40" i="12"/>
  <c r="C40" i="12"/>
  <c r="D546" i="12"/>
  <c r="C546" i="12"/>
  <c r="D610" i="12"/>
  <c r="C610" i="12"/>
  <c r="D598" i="12"/>
  <c r="C598" i="12"/>
  <c r="D592" i="12"/>
  <c r="C592" i="12"/>
  <c r="D574" i="12"/>
  <c r="C574" i="12"/>
  <c r="D566" i="12"/>
  <c r="C566" i="12"/>
  <c r="D560" i="12"/>
  <c r="C560" i="12"/>
  <c r="D557" i="12"/>
  <c r="C557" i="12"/>
  <c r="D544" i="12"/>
  <c r="C544" i="12"/>
  <c r="D600" i="12"/>
  <c r="C600" i="12"/>
  <c r="D575" i="12"/>
  <c r="C575" i="12"/>
  <c r="D552" i="12"/>
  <c r="C552" i="12"/>
  <c r="D348" i="12"/>
  <c r="C348" i="12"/>
  <c r="D609" i="12"/>
  <c r="C609" i="12"/>
  <c r="D604" i="12"/>
  <c r="C604" i="12"/>
  <c r="D601" i="12"/>
  <c r="C601" i="12"/>
  <c r="D589" i="12"/>
  <c r="C589" i="12"/>
  <c r="D584" i="12"/>
  <c r="C584" i="12"/>
  <c r="D573" i="12"/>
  <c r="C573" i="12"/>
  <c r="D569" i="12"/>
  <c r="C569" i="12"/>
  <c r="D562" i="12"/>
  <c r="C562" i="12"/>
  <c r="D556" i="12"/>
  <c r="C556" i="12"/>
  <c r="D555" i="12"/>
  <c r="C555" i="12"/>
  <c r="D549" i="12"/>
  <c r="C549" i="12"/>
  <c r="D541" i="12"/>
  <c r="C541" i="12"/>
  <c r="D537" i="12"/>
  <c r="C537" i="12"/>
  <c r="D533" i="12"/>
  <c r="C533" i="12"/>
  <c r="D400" i="12"/>
  <c r="C400" i="12"/>
  <c r="D385" i="12"/>
  <c r="C385" i="12"/>
  <c r="D363" i="12"/>
  <c r="C363" i="12"/>
  <c r="D322" i="12"/>
  <c r="C322" i="12"/>
  <c r="D207" i="12"/>
  <c r="C207" i="12"/>
  <c r="D593" i="12"/>
  <c r="C593" i="12"/>
  <c r="D606" i="12"/>
  <c r="C606" i="12"/>
  <c r="D587" i="12"/>
  <c r="C587" i="12"/>
  <c r="D565" i="12"/>
  <c r="C565" i="12"/>
  <c r="D582" i="12"/>
  <c r="C582" i="12"/>
  <c r="D597" i="12"/>
  <c r="C597" i="12"/>
  <c r="D591" i="12"/>
  <c r="C591" i="12"/>
  <c r="D588" i="12"/>
  <c r="C588" i="12"/>
  <c r="D583" i="12"/>
  <c r="C583" i="12"/>
  <c r="D571" i="12"/>
  <c r="C571" i="12"/>
  <c r="D564" i="12"/>
  <c r="C564" i="12"/>
  <c r="D561" i="12"/>
  <c r="C561" i="12"/>
  <c r="D305" i="12"/>
  <c r="C305" i="12"/>
  <c r="D266" i="12"/>
  <c r="C266" i="12"/>
  <c r="D256" i="12"/>
  <c r="C256" i="12"/>
  <c r="D225" i="12"/>
  <c r="C225" i="12"/>
  <c r="D176" i="12"/>
  <c r="C176" i="12"/>
  <c r="D608" i="12"/>
  <c r="C608" i="12"/>
  <c r="D603" i="12"/>
  <c r="C603" i="12"/>
  <c r="D416" i="12"/>
  <c r="C416" i="12"/>
  <c r="D379" i="12"/>
  <c r="C379" i="12"/>
  <c r="D286" i="12"/>
  <c r="C286" i="12"/>
  <c r="D612" i="12"/>
  <c r="C612" i="12"/>
  <c r="D607" i="12"/>
  <c r="C607" i="12"/>
  <c r="D602" i="12"/>
  <c r="C602" i="12"/>
  <c r="D314" i="12"/>
  <c r="C314" i="12"/>
  <c r="C491" i="12"/>
  <c r="D491" i="12"/>
  <c r="D410" i="12"/>
  <c r="C410" i="12"/>
  <c r="D344" i="12"/>
  <c r="C344" i="12"/>
  <c r="D320" i="12"/>
  <c r="C320" i="12"/>
  <c r="D292" i="12"/>
  <c r="C292" i="12"/>
  <c r="D248" i="12"/>
  <c r="C248" i="12"/>
  <c r="D218" i="12"/>
  <c r="C218" i="12"/>
  <c r="D194" i="12"/>
  <c r="C194" i="12"/>
  <c r="D139" i="12"/>
  <c r="C139" i="12"/>
  <c r="D118" i="12"/>
  <c r="C118" i="12"/>
  <c r="D96" i="12"/>
  <c r="C96" i="12"/>
  <c r="D73" i="12"/>
  <c r="C73" i="12"/>
  <c r="C43" i="12"/>
  <c r="D43" i="12"/>
  <c r="D611" i="12"/>
  <c r="C611" i="12"/>
  <c r="D605" i="12"/>
  <c r="C605" i="12"/>
  <c r="D599" i="12"/>
  <c r="C599" i="12"/>
  <c r="D596" i="12"/>
  <c r="C596" i="12"/>
  <c r="D572" i="12"/>
  <c r="C572" i="12"/>
  <c r="D567" i="12"/>
  <c r="C567" i="12"/>
  <c r="D563" i="12"/>
  <c r="C563" i="12"/>
  <c r="D559" i="12"/>
  <c r="C559" i="12"/>
  <c r="D548" i="12"/>
  <c r="C548" i="12"/>
  <c r="D523" i="12"/>
  <c r="C523" i="12"/>
  <c r="D505" i="12"/>
  <c r="C505" i="12"/>
  <c r="D440" i="12"/>
  <c r="C440" i="12"/>
  <c r="D340" i="12"/>
  <c r="C340" i="12"/>
  <c r="D277" i="12"/>
  <c r="C277" i="12"/>
  <c r="D154" i="12"/>
  <c r="C154" i="12"/>
  <c r="D594" i="12"/>
  <c r="C594" i="12"/>
  <c r="D590" i="12"/>
  <c r="C590" i="12"/>
  <c r="D577" i="12"/>
  <c r="C577" i="12"/>
  <c r="D553" i="12"/>
  <c r="C553" i="12"/>
  <c r="D547" i="12"/>
  <c r="C547" i="12"/>
  <c r="D542" i="12"/>
  <c r="C542" i="12"/>
  <c r="D539" i="12"/>
  <c r="C539" i="12"/>
  <c r="D534" i="12"/>
  <c r="C534" i="12"/>
  <c r="C527" i="12"/>
  <c r="D527" i="12"/>
  <c r="D524" i="12"/>
  <c r="C524" i="12"/>
  <c r="D520" i="12"/>
  <c r="C520" i="12"/>
  <c r="C511" i="12"/>
  <c r="D511" i="12"/>
  <c r="D499" i="12"/>
  <c r="C499" i="12"/>
  <c r="D495" i="12"/>
  <c r="C495" i="12"/>
  <c r="D490" i="12"/>
  <c r="C490" i="12"/>
  <c r="D485" i="12"/>
  <c r="C485" i="12"/>
  <c r="D482" i="12"/>
  <c r="C482" i="12"/>
  <c r="D476" i="12"/>
  <c r="C476" i="12"/>
  <c r="D471" i="12"/>
  <c r="C471" i="12"/>
  <c r="D459" i="12"/>
  <c r="C459" i="12"/>
  <c r="D457" i="12"/>
  <c r="C457" i="12"/>
  <c r="D454" i="12"/>
  <c r="C454" i="12"/>
  <c r="D450" i="12"/>
  <c r="C450" i="12"/>
  <c r="D442" i="12"/>
  <c r="C442" i="12"/>
  <c r="C431" i="12"/>
  <c r="D431" i="12"/>
  <c r="D429" i="12"/>
  <c r="C429" i="12"/>
  <c r="D424" i="12"/>
  <c r="C424" i="12"/>
  <c r="D419" i="12"/>
  <c r="C419" i="12"/>
  <c r="D415" i="12"/>
  <c r="C415" i="12"/>
  <c r="D404" i="12"/>
  <c r="C404" i="12"/>
  <c r="D397" i="12"/>
  <c r="C397" i="12"/>
  <c r="D394" i="12"/>
  <c r="C394" i="12"/>
  <c r="D388" i="12"/>
  <c r="C388" i="12"/>
  <c r="D372" i="12"/>
  <c r="C372" i="12"/>
  <c r="D366" i="12"/>
  <c r="C366" i="12"/>
  <c r="D360" i="12"/>
  <c r="C360" i="12"/>
  <c r="D355" i="12"/>
  <c r="C355" i="12"/>
  <c r="D349" i="12"/>
  <c r="C349" i="12"/>
  <c r="C343" i="12"/>
  <c r="D343" i="12"/>
  <c r="D332" i="12"/>
  <c r="C332" i="12"/>
  <c r="D325" i="12"/>
  <c r="C325" i="12"/>
  <c r="C303" i="12"/>
  <c r="D303" i="12"/>
  <c r="D296" i="12"/>
  <c r="C296" i="12"/>
  <c r="D281" i="12"/>
  <c r="C281" i="12"/>
  <c r="D272" i="12"/>
  <c r="C272" i="12"/>
  <c r="D264" i="12"/>
  <c r="C264" i="12"/>
  <c r="D259" i="12"/>
  <c r="C259" i="12"/>
  <c r="D254" i="12"/>
  <c r="C254" i="12"/>
  <c r="C247" i="12"/>
  <c r="D247" i="12"/>
  <c r="D242" i="12"/>
  <c r="C242" i="12"/>
  <c r="D236" i="12"/>
  <c r="C236" i="12"/>
  <c r="D230" i="12"/>
  <c r="C230" i="12"/>
  <c r="D223" i="12"/>
  <c r="C223" i="12"/>
  <c r="D211" i="12"/>
  <c r="C211" i="12"/>
  <c r="D204" i="12"/>
  <c r="C204" i="12"/>
  <c r="D193" i="12"/>
  <c r="C193" i="12"/>
  <c r="C187" i="12"/>
  <c r="D187" i="12"/>
  <c r="D182" i="12"/>
  <c r="C182" i="12"/>
  <c r="D170" i="12"/>
  <c r="C170" i="12"/>
  <c r="D162" i="12"/>
  <c r="C162" i="12"/>
  <c r="D156" i="12"/>
  <c r="C156" i="12"/>
  <c r="D150" i="12"/>
  <c r="C150" i="12"/>
  <c r="D145" i="12"/>
  <c r="C145" i="12"/>
  <c r="D138" i="12"/>
  <c r="C138" i="12"/>
  <c r="D130" i="12"/>
  <c r="C130" i="12"/>
  <c r="D124" i="12"/>
  <c r="C124" i="12"/>
  <c r="D117" i="12"/>
  <c r="C117" i="12"/>
  <c r="D109" i="12"/>
  <c r="C109" i="12"/>
  <c r="D102" i="12"/>
  <c r="C102" i="12"/>
  <c r="D95" i="12"/>
  <c r="C95" i="12"/>
  <c r="D87" i="12"/>
  <c r="C87" i="12"/>
  <c r="D80" i="12"/>
  <c r="C80" i="12"/>
  <c r="D72" i="12"/>
  <c r="C72" i="12"/>
  <c r="D65" i="12"/>
  <c r="C65" i="12"/>
  <c r="D50" i="12"/>
  <c r="C50" i="12"/>
  <c r="D42" i="12"/>
  <c r="C42" i="12"/>
  <c r="D34" i="12"/>
  <c r="C34" i="12"/>
  <c r="D26" i="12"/>
  <c r="C26" i="12"/>
  <c r="D18" i="12"/>
  <c r="C18" i="12"/>
  <c r="D568" i="12"/>
  <c r="C568" i="12"/>
  <c r="D554" i="12"/>
  <c r="C554" i="12"/>
  <c r="D521" i="12"/>
  <c r="C521" i="12"/>
  <c r="D477" i="12"/>
  <c r="C477" i="12"/>
  <c r="D443" i="12"/>
  <c r="C443" i="12"/>
  <c r="D389" i="12"/>
  <c r="C389" i="12"/>
  <c r="D350" i="12"/>
  <c r="C350" i="12"/>
  <c r="D308" i="12"/>
  <c r="C308" i="12"/>
  <c r="D255" i="12"/>
  <c r="C255" i="12"/>
  <c r="D224" i="12"/>
  <c r="C224" i="12"/>
  <c r="D200" i="12"/>
  <c r="C200" i="12"/>
  <c r="D146" i="12"/>
  <c r="C146" i="12"/>
  <c r="D125" i="12"/>
  <c r="C125" i="12"/>
  <c r="D103" i="12"/>
  <c r="C103" i="12"/>
  <c r="D81" i="12"/>
  <c r="C81" i="12"/>
  <c r="D51" i="12"/>
  <c r="C51" i="12"/>
  <c r="D19" i="12"/>
  <c r="C19" i="12"/>
  <c r="D516" i="12"/>
  <c r="C516" i="12"/>
  <c r="D514" i="12"/>
  <c r="C514" i="12"/>
  <c r="D510" i="12"/>
  <c r="C510" i="12"/>
  <c r="C503" i="12"/>
  <c r="D503" i="12"/>
  <c r="D498" i="12"/>
  <c r="C498" i="12"/>
  <c r="D475" i="12"/>
  <c r="C475" i="12"/>
  <c r="D470" i="12"/>
  <c r="C470" i="12"/>
  <c r="D466" i="12"/>
  <c r="C466" i="12"/>
  <c r="D462" i="12"/>
  <c r="C462" i="12"/>
  <c r="D446" i="12"/>
  <c r="C446" i="12"/>
  <c r="D441" i="12"/>
  <c r="C441" i="12"/>
  <c r="D437" i="12"/>
  <c r="C437" i="12"/>
  <c r="C423" i="12"/>
  <c r="D423" i="12"/>
  <c r="D418" i="12"/>
  <c r="C418" i="12"/>
  <c r="D414" i="12"/>
  <c r="C414" i="12"/>
  <c r="C403" i="12"/>
  <c r="D403" i="12"/>
  <c r="D378" i="12"/>
  <c r="C378" i="12"/>
  <c r="D354" i="12"/>
  <c r="C354" i="12"/>
  <c r="D342" i="12"/>
  <c r="C342" i="12"/>
  <c r="D336" i="12"/>
  <c r="C336" i="12"/>
  <c r="D324" i="12"/>
  <c r="C324" i="12"/>
  <c r="D319" i="12"/>
  <c r="C319" i="12"/>
  <c r="D313" i="12"/>
  <c r="C313" i="12"/>
  <c r="C307" i="12"/>
  <c r="D307" i="12"/>
  <c r="D302" i="12"/>
  <c r="C302" i="12"/>
  <c r="C295" i="12"/>
  <c r="D295" i="12"/>
  <c r="D291" i="12"/>
  <c r="C291" i="12"/>
  <c r="D280" i="12"/>
  <c r="C280" i="12"/>
  <c r="D276" i="12"/>
  <c r="C276" i="12"/>
  <c r="C271" i="12"/>
  <c r="D271" i="12"/>
  <c r="C263" i="12"/>
  <c r="D263" i="12"/>
  <c r="D253" i="12"/>
  <c r="C253" i="12"/>
  <c r="D246" i="12"/>
  <c r="C246" i="12"/>
  <c r="D241" i="12"/>
  <c r="C241" i="12"/>
  <c r="D235" i="12"/>
  <c r="C235" i="12"/>
  <c r="D229" i="12"/>
  <c r="C229" i="12"/>
  <c r="D222" i="12"/>
  <c r="C222" i="12"/>
  <c r="D217" i="12"/>
  <c r="C217" i="12"/>
  <c r="D210" i="12"/>
  <c r="C210" i="12"/>
  <c r="D203" i="12"/>
  <c r="C203" i="12"/>
  <c r="D199" i="12"/>
  <c r="C199" i="12"/>
  <c r="D186" i="12"/>
  <c r="C186" i="12"/>
  <c r="D181" i="12"/>
  <c r="C181" i="12"/>
  <c r="D175" i="12"/>
  <c r="C175" i="12"/>
  <c r="D169" i="12"/>
  <c r="C169" i="12"/>
  <c r="D161" i="12"/>
  <c r="C161" i="12"/>
  <c r="D155" i="12"/>
  <c r="C155" i="12"/>
  <c r="D149" i="12"/>
  <c r="C149" i="12"/>
  <c r="D144" i="12"/>
  <c r="C144" i="12"/>
  <c r="D137" i="12"/>
  <c r="C137" i="12"/>
  <c r="D129" i="12"/>
  <c r="C129" i="12"/>
  <c r="D116" i="12"/>
  <c r="C116" i="12"/>
  <c r="D108" i="12"/>
  <c r="C108" i="12"/>
  <c r="D101" i="12"/>
  <c r="C101" i="12"/>
  <c r="D94" i="12"/>
  <c r="C94" i="12"/>
  <c r="D86" i="12"/>
  <c r="C86" i="12"/>
  <c r="D79" i="12"/>
  <c r="C79" i="12"/>
  <c r="D71" i="12"/>
  <c r="C71" i="12"/>
  <c r="D64" i="12"/>
  <c r="C64" i="12"/>
  <c r="D57" i="12"/>
  <c r="C57" i="12"/>
  <c r="D49" i="12"/>
  <c r="C49" i="12"/>
  <c r="D41" i="12"/>
  <c r="C41" i="12"/>
  <c r="D33" i="12"/>
  <c r="C33" i="12"/>
  <c r="D25" i="12"/>
  <c r="C25" i="12"/>
  <c r="D17" i="12"/>
  <c r="C17" i="12"/>
  <c r="C86" i="11"/>
  <c r="D586" i="12"/>
  <c r="C586" i="12"/>
  <c r="D558" i="12"/>
  <c r="C558" i="12"/>
  <c r="D525" i="12"/>
  <c r="C525" i="12"/>
  <c r="D304" i="12"/>
  <c r="C304" i="12"/>
  <c r="D205" i="12"/>
  <c r="C205" i="12"/>
  <c r="D58" i="12"/>
  <c r="C58" i="12"/>
  <c r="D27" i="12"/>
  <c r="C27" i="12"/>
  <c r="D417" i="12"/>
  <c r="C417" i="12"/>
  <c r="D408" i="12"/>
  <c r="C408" i="12"/>
  <c r="D402" i="12"/>
  <c r="C402" i="12"/>
  <c r="D396" i="12"/>
  <c r="C396" i="12"/>
  <c r="D387" i="12"/>
  <c r="C387" i="12"/>
  <c r="D382" i="12"/>
  <c r="C382" i="12"/>
  <c r="D377" i="12"/>
  <c r="C377" i="12"/>
  <c r="D370" i="12"/>
  <c r="C370" i="12"/>
  <c r="D365" i="12"/>
  <c r="C365" i="12"/>
  <c r="C359" i="12"/>
  <c r="D359" i="12"/>
  <c r="D347" i="12"/>
  <c r="C347" i="12"/>
  <c r="D341" i="12"/>
  <c r="C341" i="12"/>
  <c r="D338" i="12"/>
  <c r="C338" i="12"/>
  <c r="D331" i="12"/>
  <c r="C331" i="12"/>
  <c r="D323" i="12"/>
  <c r="C323" i="12"/>
  <c r="D318" i="12"/>
  <c r="C318" i="12"/>
  <c r="D312" i="12"/>
  <c r="C312" i="12"/>
  <c r="D301" i="12"/>
  <c r="C301" i="12"/>
  <c r="D290" i="12"/>
  <c r="C290" i="12"/>
  <c r="C275" i="12"/>
  <c r="D275" i="12"/>
  <c r="D270" i="12"/>
  <c r="C270" i="12"/>
  <c r="D262" i="12"/>
  <c r="C262" i="12"/>
  <c r="D258" i="12"/>
  <c r="C258" i="12"/>
  <c r="D252" i="12"/>
  <c r="C252" i="12"/>
  <c r="D234" i="12"/>
  <c r="C234" i="12"/>
  <c r="D216" i="12"/>
  <c r="C216" i="12"/>
  <c r="D209" i="12"/>
  <c r="C209" i="12"/>
  <c r="D202" i="12"/>
  <c r="C202" i="12"/>
  <c r="D180" i="12"/>
  <c r="C180" i="12"/>
  <c r="D174" i="12"/>
  <c r="C174" i="12"/>
  <c r="D168" i="12"/>
  <c r="C168" i="12"/>
  <c r="D160" i="12"/>
  <c r="C160" i="12"/>
  <c r="D143" i="12"/>
  <c r="C143" i="12"/>
  <c r="D136" i="12"/>
  <c r="C136" i="12"/>
  <c r="C123" i="12"/>
  <c r="D123" i="12"/>
  <c r="D115" i="12"/>
  <c r="C115" i="12"/>
  <c r="D93" i="12"/>
  <c r="C93" i="12"/>
  <c r="D78" i="12"/>
  <c r="C78" i="12"/>
  <c r="D63" i="12"/>
  <c r="C63" i="12"/>
  <c r="D56" i="12"/>
  <c r="C56" i="12"/>
  <c r="D48" i="12"/>
  <c r="C48" i="12"/>
  <c r="D32" i="12"/>
  <c r="C32" i="12"/>
  <c r="D24" i="12"/>
  <c r="C24" i="12"/>
  <c r="D16" i="12"/>
  <c r="C16" i="12"/>
  <c r="D532" i="12"/>
  <c r="C532" i="12"/>
  <c r="D486" i="12"/>
  <c r="C486" i="12"/>
  <c r="D472" i="12"/>
  <c r="C472" i="12"/>
  <c r="D438" i="12"/>
  <c r="C438" i="12"/>
  <c r="D420" i="12"/>
  <c r="C420" i="12"/>
  <c r="D398" i="12"/>
  <c r="C398" i="12"/>
  <c r="D383" i="12"/>
  <c r="C383" i="12"/>
  <c r="D361" i="12"/>
  <c r="C361" i="12"/>
  <c r="D282" i="12"/>
  <c r="C282" i="12"/>
  <c r="D265" i="12"/>
  <c r="C265" i="12"/>
  <c r="D237" i="12"/>
  <c r="C237" i="12"/>
  <c r="D212" i="12"/>
  <c r="C212" i="12"/>
  <c r="D188" i="12"/>
  <c r="C188" i="12"/>
  <c r="D157" i="12"/>
  <c r="C157" i="12"/>
  <c r="C131" i="12"/>
  <c r="D131" i="12"/>
  <c r="D110" i="12"/>
  <c r="C110" i="12"/>
  <c r="D88" i="12"/>
  <c r="C88" i="12"/>
  <c r="D66" i="12"/>
  <c r="C66" i="12"/>
  <c r="D35" i="12"/>
  <c r="C35" i="12"/>
  <c r="D518" i="12"/>
  <c r="C518" i="12"/>
  <c r="D513" i="12"/>
  <c r="C513" i="12"/>
  <c r="D508" i="12"/>
  <c r="C508" i="12"/>
  <c r="D496" i="12"/>
  <c r="C496" i="12"/>
  <c r="D494" i="12"/>
  <c r="C494" i="12"/>
  <c r="D484" i="12"/>
  <c r="C484" i="12"/>
  <c r="D480" i="12"/>
  <c r="C480" i="12"/>
  <c r="D469" i="12"/>
  <c r="C469" i="12"/>
  <c r="D456" i="12"/>
  <c r="C456" i="12"/>
  <c r="D453" i="12"/>
  <c r="C453" i="12"/>
  <c r="D449" i="12"/>
  <c r="C449" i="12"/>
  <c r="D444" i="12"/>
  <c r="C444" i="12"/>
  <c r="C435" i="12"/>
  <c r="D435" i="12"/>
  <c r="D427" i="12"/>
  <c r="C427" i="12"/>
  <c r="D422" i="12"/>
  <c r="C422" i="12"/>
  <c r="C407" i="12"/>
  <c r="D407" i="12"/>
  <c r="D401" i="12"/>
  <c r="C401" i="12"/>
  <c r="D395" i="12"/>
  <c r="C395" i="12"/>
  <c r="D393" i="12"/>
  <c r="C393" i="12"/>
  <c r="D386" i="12"/>
  <c r="C386" i="12"/>
  <c r="D381" i="12"/>
  <c r="C381" i="12"/>
  <c r="D376" i="12"/>
  <c r="C376" i="12"/>
  <c r="D369" i="12"/>
  <c r="C369" i="12"/>
  <c r="D364" i="12"/>
  <c r="C364" i="12"/>
  <c r="D358" i="12"/>
  <c r="C358" i="12"/>
  <c r="D353" i="12"/>
  <c r="C353" i="12"/>
  <c r="C335" i="12"/>
  <c r="D335" i="12"/>
  <c r="D330" i="12"/>
  <c r="C330" i="12"/>
  <c r="D317" i="12"/>
  <c r="C317" i="12"/>
  <c r="C311" i="12"/>
  <c r="D311" i="12"/>
  <c r="D300" i="12"/>
  <c r="C300" i="12"/>
  <c r="D293" i="12"/>
  <c r="C293" i="12"/>
  <c r="D285" i="12"/>
  <c r="C285" i="12"/>
  <c r="D269" i="12"/>
  <c r="C269" i="12"/>
  <c r="D251" i="12"/>
  <c r="C251" i="12"/>
  <c r="C239" i="12"/>
  <c r="D239" i="12"/>
  <c r="D233" i="12"/>
  <c r="C233" i="12"/>
  <c r="D228" i="12"/>
  <c r="C228" i="12"/>
  <c r="D221" i="12"/>
  <c r="C221" i="12"/>
  <c r="D208" i="12"/>
  <c r="C208" i="12"/>
  <c r="D198" i="12"/>
  <c r="C198" i="12"/>
  <c r="D191" i="12"/>
  <c r="C191" i="12"/>
  <c r="D185" i="12"/>
  <c r="C185" i="12"/>
  <c r="D179" i="12"/>
  <c r="C179" i="12"/>
  <c r="D173" i="12"/>
  <c r="C173" i="12"/>
  <c r="D167" i="12"/>
  <c r="C167" i="12"/>
  <c r="D159" i="12"/>
  <c r="C159" i="12"/>
  <c r="D135" i="12"/>
  <c r="C135" i="12"/>
  <c r="D122" i="12"/>
  <c r="C122" i="12"/>
  <c r="D114" i="12"/>
  <c r="C114" i="12"/>
  <c r="D107" i="12"/>
  <c r="C107" i="12"/>
  <c r="D99" i="12"/>
  <c r="C99" i="12"/>
  <c r="D92" i="12"/>
  <c r="C92" i="12"/>
  <c r="D85" i="12"/>
  <c r="C85" i="12"/>
  <c r="D77" i="12"/>
  <c r="C77" i="12"/>
  <c r="D69" i="12"/>
  <c r="C69" i="12"/>
  <c r="D62" i="12"/>
  <c r="C62" i="12"/>
  <c r="D55" i="12"/>
  <c r="C55" i="12"/>
  <c r="D47" i="12"/>
  <c r="C47" i="12"/>
  <c r="D39" i="12"/>
  <c r="C39" i="12"/>
  <c r="D31" i="12"/>
  <c r="C31" i="12"/>
  <c r="D23" i="12"/>
  <c r="C23" i="12"/>
  <c r="D15" i="12"/>
  <c r="C15" i="12"/>
  <c r="C89" i="11"/>
  <c r="D595" i="12"/>
  <c r="C595" i="12"/>
  <c r="D580" i="12"/>
  <c r="C580" i="12"/>
  <c r="D570" i="12"/>
  <c r="C570" i="12"/>
  <c r="D528" i="12"/>
  <c r="C528" i="12"/>
  <c r="D500" i="12"/>
  <c r="C500" i="12"/>
  <c r="D447" i="12"/>
  <c r="C447" i="12"/>
  <c r="D390" i="12"/>
  <c r="C390" i="12"/>
  <c r="D326" i="12"/>
  <c r="C326" i="12"/>
  <c r="D297" i="12"/>
  <c r="C297" i="12"/>
  <c r="D163" i="12"/>
  <c r="C163" i="12"/>
  <c r="D512" i="12"/>
  <c r="C512" i="12"/>
  <c r="D507" i="12"/>
  <c r="C507" i="12"/>
  <c r="D504" i="12"/>
  <c r="C504" i="12"/>
  <c r="D501" i="12"/>
  <c r="C501" i="12"/>
  <c r="D493" i="12"/>
  <c r="C493" i="12"/>
  <c r="D488" i="12"/>
  <c r="C488" i="12"/>
  <c r="D483" i="12"/>
  <c r="C483" i="12"/>
  <c r="D474" i="12"/>
  <c r="C474" i="12"/>
  <c r="D465" i="12"/>
  <c r="C465" i="12"/>
  <c r="D452" i="12"/>
  <c r="C452" i="12"/>
  <c r="D434" i="12"/>
  <c r="C434" i="12"/>
  <c r="D430" i="12"/>
  <c r="C430" i="12"/>
  <c r="D426" i="12"/>
  <c r="C426" i="12"/>
  <c r="D413" i="12"/>
  <c r="C413" i="12"/>
  <c r="D406" i="12"/>
  <c r="C406" i="12"/>
  <c r="C375" i="12"/>
  <c r="D375" i="12"/>
  <c r="D368" i="12"/>
  <c r="C368" i="12"/>
  <c r="D357" i="12"/>
  <c r="C357" i="12"/>
  <c r="D352" i="12"/>
  <c r="C352" i="12"/>
  <c r="D346" i="12"/>
  <c r="C346" i="12"/>
  <c r="D337" i="12"/>
  <c r="C337" i="12"/>
  <c r="D329" i="12"/>
  <c r="C329" i="12"/>
  <c r="D316" i="12"/>
  <c r="C316" i="12"/>
  <c r="D310" i="12"/>
  <c r="C310" i="12"/>
  <c r="D306" i="12"/>
  <c r="C306" i="12"/>
  <c r="D299" i="12"/>
  <c r="C299" i="12"/>
  <c r="D289" i="12"/>
  <c r="C289" i="12"/>
  <c r="D284" i="12"/>
  <c r="C284" i="12"/>
  <c r="C279" i="12"/>
  <c r="D279" i="12"/>
  <c r="D274" i="12"/>
  <c r="C274" i="12"/>
  <c r="D268" i="12"/>
  <c r="C268" i="12"/>
  <c r="D261" i="12"/>
  <c r="C261" i="12"/>
  <c r="D257" i="12"/>
  <c r="C257" i="12"/>
  <c r="D245" i="12"/>
  <c r="C245" i="12"/>
  <c r="D238" i="12"/>
  <c r="C238" i="12"/>
  <c r="D232" i="12"/>
  <c r="C232" i="12"/>
  <c r="D227" i="12"/>
  <c r="C227" i="12"/>
  <c r="D215" i="12"/>
  <c r="C215" i="12"/>
  <c r="D201" i="12"/>
  <c r="C201" i="12"/>
  <c r="D197" i="12"/>
  <c r="C197" i="12"/>
  <c r="D178" i="12"/>
  <c r="C178" i="12"/>
  <c r="D172" i="12"/>
  <c r="C172" i="12"/>
  <c r="D166" i="12"/>
  <c r="C166" i="12"/>
  <c r="D153" i="12"/>
  <c r="C153" i="12"/>
  <c r="D148" i="12"/>
  <c r="C148" i="12"/>
  <c r="D142" i="12"/>
  <c r="C142" i="12"/>
  <c r="D134" i="12"/>
  <c r="C134" i="12"/>
  <c r="D128" i="12"/>
  <c r="C128" i="12"/>
  <c r="D121" i="12"/>
  <c r="C121" i="12"/>
  <c r="D113" i="12"/>
  <c r="C113" i="12"/>
  <c r="D106" i="12"/>
  <c r="C106" i="12"/>
  <c r="D91" i="12"/>
  <c r="C91" i="12"/>
  <c r="D84" i="12"/>
  <c r="C84" i="12"/>
  <c r="D76" i="12"/>
  <c r="C76" i="12"/>
  <c r="D68" i="12"/>
  <c r="C68" i="12"/>
  <c r="D61" i="12"/>
  <c r="C61" i="12"/>
  <c r="D54" i="12"/>
  <c r="C54" i="12"/>
  <c r="D46" i="12"/>
  <c r="C46" i="12"/>
  <c r="D38" i="12"/>
  <c r="C38" i="12"/>
  <c r="D30" i="12"/>
  <c r="C30" i="12"/>
  <c r="D22" i="12"/>
  <c r="C22" i="12"/>
  <c r="D14" i="12"/>
  <c r="C14" i="12"/>
  <c r="C12" i="12"/>
  <c r="D12" i="12"/>
  <c r="AC1002" i="3"/>
  <c r="D540" i="12"/>
  <c r="C540" i="12"/>
  <c r="D536" i="12"/>
  <c r="C536" i="12"/>
  <c r="D530" i="12"/>
  <c r="C530" i="12"/>
  <c r="D522" i="12"/>
  <c r="C522" i="12"/>
  <c r="D509" i="12"/>
  <c r="C509" i="12"/>
  <c r="D492" i="12"/>
  <c r="C492" i="12"/>
  <c r="C487" i="12"/>
  <c r="D487" i="12"/>
  <c r="C479" i="12"/>
  <c r="D479" i="12"/>
  <c r="D473" i="12"/>
  <c r="C473" i="12"/>
  <c r="C468" i="12"/>
  <c r="D468" i="12"/>
  <c r="D464" i="12"/>
  <c r="C464" i="12"/>
  <c r="D460" i="12"/>
  <c r="C460" i="12"/>
  <c r="D451" i="12"/>
  <c r="C451" i="12"/>
  <c r="D448" i="12"/>
  <c r="C448" i="12"/>
  <c r="D433" i="12"/>
  <c r="C433" i="12"/>
  <c r="D421" i="12"/>
  <c r="C421" i="12"/>
  <c r="D412" i="12"/>
  <c r="C412" i="12"/>
  <c r="D405" i="12"/>
  <c r="C405" i="12"/>
  <c r="D392" i="12"/>
  <c r="C392" i="12"/>
  <c r="D384" i="12"/>
  <c r="C384" i="12"/>
  <c r="D380" i="12"/>
  <c r="C380" i="12"/>
  <c r="D374" i="12"/>
  <c r="C374" i="12"/>
  <c r="C367" i="12"/>
  <c r="D367" i="12"/>
  <c r="D356" i="12"/>
  <c r="C356" i="12"/>
  <c r="D345" i="12"/>
  <c r="C345" i="12"/>
  <c r="C339" i="12"/>
  <c r="D339" i="12"/>
  <c r="D328" i="12"/>
  <c r="C328" i="12"/>
  <c r="D309" i="12"/>
  <c r="C309" i="12"/>
  <c r="D288" i="12"/>
  <c r="C288" i="12"/>
  <c r="D278" i="12"/>
  <c r="C278" i="12"/>
  <c r="D267" i="12"/>
  <c r="C267" i="12"/>
  <c r="D260" i="12"/>
  <c r="C260" i="12"/>
  <c r="D250" i="12"/>
  <c r="C250" i="12"/>
  <c r="D244" i="12"/>
  <c r="C244" i="12"/>
  <c r="D226" i="12"/>
  <c r="C226" i="12"/>
  <c r="D220" i="12"/>
  <c r="C220" i="12"/>
  <c r="D214" i="12"/>
  <c r="C214" i="12"/>
  <c r="D196" i="12"/>
  <c r="C196" i="12"/>
  <c r="D190" i="12"/>
  <c r="C190" i="12"/>
  <c r="D184" i="12"/>
  <c r="C184" i="12"/>
  <c r="D177" i="12"/>
  <c r="C177" i="12"/>
  <c r="D165" i="12"/>
  <c r="C165" i="12"/>
  <c r="D158" i="12"/>
  <c r="C158" i="12"/>
  <c r="D152" i="12"/>
  <c r="C152" i="12"/>
  <c r="D147" i="12"/>
  <c r="C147" i="12"/>
  <c r="D141" i="12"/>
  <c r="C141" i="12"/>
  <c r="D133" i="12"/>
  <c r="C133" i="12"/>
  <c r="D127" i="12"/>
  <c r="C127" i="12"/>
  <c r="D120" i="12"/>
  <c r="C120" i="12"/>
  <c r="D112" i="12"/>
  <c r="C112" i="12"/>
  <c r="D105" i="12"/>
  <c r="C105" i="12"/>
  <c r="D98" i="12"/>
  <c r="C98" i="12"/>
  <c r="D90" i="12"/>
  <c r="C90" i="12"/>
  <c r="D83" i="12"/>
  <c r="C83" i="12"/>
  <c r="D75" i="12"/>
  <c r="C75" i="12"/>
  <c r="C67" i="12"/>
  <c r="D67" i="12"/>
  <c r="D60" i="12"/>
  <c r="C60" i="12"/>
  <c r="D53" i="12"/>
  <c r="C53" i="12"/>
  <c r="D45" i="12"/>
  <c r="C45" i="12"/>
  <c r="D37" i="12"/>
  <c r="C37" i="12"/>
  <c r="D29" i="12"/>
  <c r="C29" i="12"/>
  <c r="D21" i="12"/>
  <c r="C21" i="12"/>
  <c r="C333" i="12"/>
  <c r="D13" i="12"/>
  <c r="C13" i="12"/>
  <c r="C543" i="12"/>
  <c r="D543" i="12"/>
  <c r="C535" i="12"/>
  <c r="D535" i="12"/>
  <c r="D529" i="12"/>
  <c r="C529" i="12"/>
  <c r="D517" i="12"/>
  <c r="C517" i="12"/>
  <c r="D515" i="12"/>
  <c r="C515" i="12"/>
  <c r="D506" i="12"/>
  <c r="C506" i="12"/>
  <c r="D478" i="12"/>
  <c r="C478" i="12"/>
  <c r="C467" i="12"/>
  <c r="D467" i="12"/>
  <c r="C463" i="12"/>
  <c r="D463" i="12"/>
  <c r="C455" i="12"/>
  <c r="D455" i="12"/>
  <c r="C439" i="12"/>
  <c r="D439" i="12"/>
  <c r="D432" i="12"/>
  <c r="C432" i="12"/>
  <c r="D425" i="12"/>
  <c r="C425" i="12"/>
  <c r="D411" i="12"/>
  <c r="C411" i="12"/>
  <c r="C399" i="12"/>
  <c r="D399" i="12"/>
  <c r="C391" i="12"/>
  <c r="D391" i="12"/>
  <c r="D373" i="12"/>
  <c r="C373" i="12"/>
  <c r="D362" i="12"/>
  <c r="C362" i="12"/>
  <c r="D351" i="12"/>
  <c r="C351" i="12"/>
  <c r="D334" i="12"/>
  <c r="C334" i="12"/>
  <c r="C327" i="12"/>
  <c r="D327" i="12"/>
  <c r="D321" i="12"/>
  <c r="C321" i="12"/>
  <c r="D315" i="12"/>
  <c r="C315" i="12"/>
  <c r="D298" i="12"/>
  <c r="C298" i="12"/>
  <c r="D287" i="12"/>
  <c r="C287" i="12"/>
  <c r="D283" i="12"/>
  <c r="C283" i="12"/>
  <c r="D273" i="12"/>
  <c r="C273" i="12"/>
  <c r="D249" i="12"/>
  <c r="C249" i="12"/>
  <c r="C243" i="12"/>
  <c r="D243" i="12"/>
  <c r="D231" i="12"/>
  <c r="C231" i="12"/>
  <c r="D219" i="12"/>
  <c r="C219" i="12"/>
  <c r="D213" i="12"/>
  <c r="C213" i="12"/>
  <c r="D206" i="12"/>
  <c r="C206" i="12"/>
  <c r="C195" i="12"/>
  <c r="D195" i="12"/>
  <c r="D189" i="12"/>
  <c r="C189" i="12"/>
  <c r="D183" i="12"/>
  <c r="C183" i="12"/>
  <c r="D171" i="12"/>
  <c r="C171" i="12"/>
  <c r="D164" i="12"/>
  <c r="C164" i="12"/>
  <c r="D151" i="12"/>
  <c r="C151" i="12"/>
  <c r="D140" i="12"/>
  <c r="C140" i="12"/>
  <c r="D132" i="12"/>
  <c r="C132" i="12"/>
  <c r="D126" i="12"/>
  <c r="C126" i="12"/>
  <c r="D119" i="12"/>
  <c r="C119" i="12"/>
  <c r="D111" i="12"/>
  <c r="C111" i="12"/>
  <c r="D104" i="12"/>
  <c r="C104" i="12"/>
  <c r="D97" i="12"/>
  <c r="C97" i="12"/>
  <c r="D89" i="12"/>
  <c r="C89" i="12"/>
  <c r="D82" i="12"/>
  <c r="C82" i="12"/>
  <c r="D74" i="12"/>
  <c r="C74" i="12"/>
  <c r="C59" i="12"/>
  <c r="D59" i="12"/>
  <c r="D52" i="12"/>
  <c r="C52" i="12"/>
  <c r="D44" i="12"/>
  <c r="C44" i="12"/>
  <c r="D36" i="12"/>
  <c r="C36" i="12"/>
  <c r="D28" i="12"/>
  <c r="C28" i="12"/>
  <c r="D20" i="12"/>
  <c r="C20" i="12"/>
  <c r="C88" i="11"/>
  <c r="C87" i="11"/>
  <c r="D86" i="11"/>
  <c r="D90" i="11"/>
  <c r="D89" i="11"/>
  <c r="D88" i="11"/>
  <c r="C90" i="11"/>
  <c r="D87" i="11"/>
  <c r="C69" i="11" a="1"/>
  <c r="C69" i="11" s="1"/>
  <c r="C68" i="11" a="1"/>
  <c r="C68" i="11" s="1"/>
  <c r="C39" i="10"/>
  <c r="C18" i="11"/>
  <c r="C42" i="10"/>
  <c r="C17" i="11"/>
  <c r="C41" i="10"/>
  <c r="C16" i="11"/>
  <c r="C40" i="10"/>
  <c r="C15" i="11"/>
  <c r="C16" i="10" a="1"/>
  <c r="C16" i="10" s="1"/>
  <c r="D16" i="10" a="1"/>
  <c r="D16" i="10" s="1"/>
  <c r="C15" i="10" a="1"/>
  <c r="C15" i="10" s="1"/>
  <c r="D15" i="10" a="1"/>
  <c r="D15" i="10" s="1"/>
  <c r="C14" i="10" a="1"/>
  <c r="C14" i="10" s="1"/>
  <c r="D14" i="10" a="1"/>
  <c r="D14" i="10" s="1"/>
  <c r="C13" i="10" a="1"/>
  <c r="C13" i="10" s="1"/>
  <c r="C17" i="10" a="1"/>
  <c r="C17" i="10" s="1"/>
  <c r="D17" i="10" a="1"/>
  <c r="D17" i="10" s="1"/>
  <c r="C75" i="8"/>
  <c r="C74" i="8"/>
  <c r="C18" i="9"/>
  <c r="C17" i="9"/>
  <c r="C16" i="9"/>
  <c r="C15" i="8"/>
  <c r="C76" i="8"/>
  <c r="C44" i="8"/>
  <c r="C42" i="8"/>
  <c r="C18" i="8"/>
  <c r="C41" i="8"/>
  <c r="C33" i="8"/>
  <c r="C25" i="8"/>
  <c r="C17" i="8"/>
  <c r="C26" i="8"/>
  <c r="C40" i="8"/>
  <c r="C32" i="8"/>
  <c r="C24" i="8"/>
  <c r="C16" i="8"/>
  <c r="C38" i="8"/>
  <c r="C34" i="8"/>
  <c r="C39" i="8"/>
  <c r="C31" i="8"/>
  <c r="C23" i="8"/>
  <c r="C37" i="8"/>
  <c r="C29" i="8"/>
  <c r="C21" i="8"/>
  <c r="C22" i="8"/>
  <c r="C36" i="8"/>
  <c r="C28" i="8"/>
  <c r="C20" i="8"/>
  <c r="C30" i="8"/>
  <c r="C43" i="8"/>
  <c r="C35" i="8"/>
  <c r="C27" i="8"/>
  <c r="C19" i="8"/>
  <c r="C36" i="7"/>
  <c r="C37" i="7"/>
  <c r="B19" i="4" a="1"/>
  <c r="B19" i="4" s="1"/>
  <c r="C19" i="4" s="1"/>
  <c r="C34" i="4"/>
  <c r="C88" i="4"/>
  <c r="C87" i="4"/>
  <c r="C35" i="4"/>
  <c r="C27" i="16" l="1"/>
  <c r="D27" i="16"/>
  <c r="E28" i="16"/>
  <c r="C287" i="13"/>
  <c r="C534" i="13"/>
  <c r="D13" i="13"/>
  <c r="C20" i="4"/>
  <c r="C21" i="4"/>
  <c r="C22" i="4"/>
  <c r="C23" i="4"/>
  <c r="E27" i="1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<sst xmlns="http://schemas.openxmlformats.org/spreadsheetml/2006/main" count="24086" uniqueCount="3797">
  <si>
    <t>Transaction ID</t>
  </si>
  <si>
    <t>Customer ID</t>
  </si>
  <si>
    <t>Account Number</t>
  </si>
  <si>
    <t>Transaction Date</t>
  </si>
  <si>
    <t>Transaction Type</t>
  </si>
  <si>
    <t>Transaction Amount</t>
  </si>
  <si>
    <t>Account Balance</t>
  </si>
  <si>
    <t>Customer Name</t>
  </si>
  <si>
    <t>Customer Age</t>
  </si>
  <si>
    <t>Customer Gender</t>
  </si>
  <si>
    <t>Account Type</t>
  </si>
  <si>
    <t>Branch Code</t>
  </si>
  <si>
    <t>Currency</t>
  </si>
  <si>
    <t>Transaction Status</t>
  </si>
  <si>
    <t>Interest Rate (%)</t>
  </si>
  <si>
    <t>Loan Amount</t>
  </si>
  <si>
    <t>Loan Duration (Years)</t>
  </si>
  <si>
    <t>Credit Score</t>
  </si>
  <si>
    <t>Monthly Income</t>
  </si>
  <si>
    <t>Employment Status</t>
  </si>
  <si>
    <t>T000001</t>
  </si>
  <si>
    <t>C8270</t>
  </si>
  <si>
    <t>AC87462428</t>
  </si>
  <si>
    <t>Payment</t>
  </si>
  <si>
    <t>Bob Brown</t>
  </si>
  <si>
    <t>Male</t>
  </si>
  <si>
    <t>Checking</t>
  </si>
  <si>
    <t>BR901</t>
  </si>
  <si>
    <t>EUR</t>
  </si>
  <si>
    <t>Failed</t>
  </si>
  <si>
    <t>Self-employed</t>
  </si>
  <si>
    <t>T000002</t>
  </si>
  <si>
    <t>C1860</t>
  </si>
  <si>
    <t>AC65849014</t>
  </si>
  <si>
    <t>Withdrawal</t>
  </si>
  <si>
    <t>Carol White</t>
  </si>
  <si>
    <t>Credit</t>
  </si>
  <si>
    <t>BR209</t>
  </si>
  <si>
    <t>GBP</t>
  </si>
  <si>
    <t>T000003</t>
  </si>
  <si>
    <t>C6390</t>
  </si>
  <si>
    <t>AC47003110</t>
  </si>
  <si>
    <t>Female</t>
  </si>
  <si>
    <t>BR660</t>
  </si>
  <si>
    <t>Completed</t>
  </si>
  <si>
    <t>Unemployed</t>
  </si>
  <si>
    <t>T000004</t>
  </si>
  <si>
    <t>C6191</t>
  </si>
  <si>
    <t>AC23942402</t>
  </si>
  <si>
    <t>Jane Smith</t>
  </si>
  <si>
    <t>Savings</t>
  </si>
  <si>
    <t>BR740</t>
  </si>
  <si>
    <t>USD</t>
  </si>
  <si>
    <t>T000005</t>
  </si>
  <si>
    <t>C6734</t>
  </si>
  <si>
    <t>AC99097673</t>
  </si>
  <si>
    <t>Transfer</t>
  </si>
  <si>
    <t>BR684</t>
  </si>
  <si>
    <t>T000006</t>
  </si>
  <si>
    <t>C7265</t>
  </si>
  <si>
    <t>AC91602413</t>
  </si>
  <si>
    <t>BR439</t>
  </si>
  <si>
    <t>Pending</t>
  </si>
  <si>
    <t>Employed</t>
  </si>
  <si>
    <t>T000007</t>
  </si>
  <si>
    <t>C1466</t>
  </si>
  <si>
    <t>AC20669435</t>
  </si>
  <si>
    <t>BR664</t>
  </si>
  <si>
    <t>T000008</t>
  </si>
  <si>
    <t>C5426</t>
  </si>
  <si>
    <t>AC93750880</t>
  </si>
  <si>
    <t>Deposit</t>
  </si>
  <si>
    <t>BR455</t>
  </si>
  <si>
    <t>T000009</t>
  </si>
  <si>
    <t>C6578</t>
  </si>
  <si>
    <t>AC53728950</t>
  </si>
  <si>
    <t>BR991</t>
  </si>
  <si>
    <t>T000010</t>
  </si>
  <si>
    <t>C9322</t>
  </si>
  <si>
    <t>AC21484508</t>
  </si>
  <si>
    <t>BR267</t>
  </si>
  <si>
    <t>T000011</t>
  </si>
  <si>
    <t>C2685</t>
  </si>
  <si>
    <t>AC17449607</t>
  </si>
  <si>
    <t>BR656</t>
  </si>
  <si>
    <t>T000012</t>
  </si>
  <si>
    <t>C1769</t>
  </si>
  <si>
    <t>AC97929144</t>
  </si>
  <si>
    <t>BR551</t>
  </si>
  <si>
    <t>T000013</t>
  </si>
  <si>
    <t>C7949</t>
  </si>
  <si>
    <t>AC23839094</t>
  </si>
  <si>
    <t>BR204</t>
  </si>
  <si>
    <t>T000014</t>
  </si>
  <si>
    <t>C3433</t>
  </si>
  <si>
    <t>AC26701250</t>
  </si>
  <si>
    <t>BR249</t>
  </si>
  <si>
    <t>T000015</t>
  </si>
  <si>
    <t>C6311</t>
  </si>
  <si>
    <t>AC62934615</t>
  </si>
  <si>
    <t>John Doe</t>
  </si>
  <si>
    <t>BR245</t>
  </si>
  <si>
    <t>T000016</t>
  </si>
  <si>
    <t>C6051</t>
  </si>
  <si>
    <t>AC46992982</t>
  </si>
  <si>
    <t>BR815</t>
  </si>
  <si>
    <t>T000017</t>
  </si>
  <si>
    <t>C7420</t>
  </si>
  <si>
    <t>AC77185082</t>
  </si>
  <si>
    <t>BR973</t>
  </si>
  <si>
    <t>T000018</t>
  </si>
  <si>
    <t>C2184</t>
  </si>
  <si>
    <t>AC33656190</t>
  </si>
  <si>
    <t>BR398</t>
  </si>
  <si>
    <t>T000019</t>
  </si>
  <si>
    <t>C5555</t>
  </si>
  <si>
    <t>AC94656124</t>
  </si>
  <si>
    <t>BR266</t>
  </si>
  <si>
    <t>T000020</t>
  </si>
  <si>
    <t>C4385</t>
  </si>
  <si>
    <t>AC15579079</t>
  </si>
  <si>
    <t>BR812</t>
  </si>
  <si>
    <t>T000021</t>
  </si>
  <si>
    <t>C7396</t>
  </si>
  <si>
    <t>AC54489781</t>
  </si>
  <si>
    <t>Alice Johnson</t>
  </si>
  <si>
    <t>BR745</t>
  </si>
  <si>
    <t>T000022</t>
  </si>
  <si>
    <t>C9666</t>
  </si>
  <si>
    <t>AC90170222</t>
  </si>
  <si>
    <t>BR822</t>
  </si>
  <si>
    <t>T000023</t>
  </si>
  <si>
    <t>C3558</t>
  </si>
  <si>
    <t>AC39822180</t>
  </si>
  <si>
    <t>BR147</t>
  </si>
  <si>
    <t>T000024</t>
  </si>
  <si>
    <t>C8849</t>
  </si>
  <si>
    <t>AC63517362</t>
  </si>
  <si>
    <t>BR737</t>
  </si>
  <si>
    <t>T000025</t>
  </si>
  <si>
    <t>C3047</t>
  </si>
  <si>
    <t>AC93463150</t>
  </si>
  <si>
    <t>BR338</t>
  </si>
  <si>
    <t>T000026</t>
  </si>
  <si>
    <t>C3747</t>
  </si>
  <si>
    <t>AC18860935</t>
  </si>
  <si>
    <t>BR106</t>
  </si>
  <si>
    <t>T000027</t>
  </si>
  <si>
    <t>C1189</t>
  </si>
  <si>
    <t>AC34444321</t>
  </si>
  <si>
    <t>BR563</t>
  </si>
  <si>
    <t>T000028</t>
  </si>
  <si>
    <t>C3734</t>
  </si>
  <si>
    <t>AC95808215</t>
  </si>
  <si>
    <t>BR552</t>
  </si>
  <si>
    <t>T000029</t>
  </si>
  <si>
    <t>C4005</t>
  </si>
  <si>
    <t>AC25105101</t>
  </si>
  <si>
    <t>BR883</t>
  </si>
  <si>
    <t>T000030</t>
  </si>
  <si>
    <t>C5658</t>
  </si>
  <si>
    <t>AC50576287</t>
  </si>
  <si>
    <t>BR996</t>
  </si>
  <si>
    <t>T000031</t>
  </si>
  <si>
    <t>C2899</t>
  </si>
  <si>
    <t>AC61309687</t>
  </si>
  <si>
    <t>BR470</t>
  </si>
  <si>
    <t>T000032</t>
  </si>
  <si>
    <t>C8734</t>
  </si>
  <si>
    <t>AC86106218</t>
  </si>
  <si>
    <t>BR648</t>
  </si>
  <si>
    <t>T000033</t>
  </si>
  <si>
    <t>C2267</t>
  </si>
  <si>
    <t>AC39677043</t>
  </si>
  <si>
    <t>BR586</t>
  </si>
  <si>
    <t>T000034</t>
  </si>
  <si>
    <t>C2528</t>
  </si>
  <si>
    <t>AC60831524</t>
  </si>
  <si>
    <t>BR310</t>
  </si>
  <si>
    <t>T000035</t>
  </si>
  <si>
    <t>C4556</t>
  </si>
  <si>
    <t>AC79071029</t>
  </si>
  <si>
    <t>BR264</t>
  </si>
  <si>
    <t>T000036</t>
  </si>
  <si>
    <t>C4890</t>
  </si>
  <si>
    <t>AC85094484</t>
  </si>
  <si>
    <t>BR224</t>
  </si>
  <si>
    <t>T000037</t>
  </si>
  <si>
    <t>C9838</t>
  </si>
  <si>
    <t>AC10611213</t>
  </si>
  <si>
    <t>BR436</t>
  </si>
  <si>
    <t>T000038</t>
  </si>
  <si>
    <t>C6393</t>
  </si>
  <si>
    <t>AC61100382</t>
  </si>
  <si>
    <t>BR291</t>
  </si>
  <si>
    <t>T000039</t>
  </si>
  <si>
    <t>C9792</t>
  </si>
  <si>
    <t>AC59349430</t>
  </si>
  <si>
    <t>BR829</t>
  </si>
  <si>
    <t>T000040</t>
  </si>
  <si>
    <t>C9433</t>
  </si>
  <si>
    <t>AC65842822</t>
  </si>
  <si>
    <t>BR313</t>
  </si>
  <si>
    <t>T000041</t>
  </si>
  <si>
    <t>C8513</t>
  </si>
  <si>
    <t>AC45393865</t>
  </si>
  <si>
    <t>BR673</t>
  </si>
  <si>
    <t>T000042</t>
  </si>
  <si>
    <t>C3612</t>
  </si>
  <si>
    <t>AC83678496</t>
  </si>
  <si>
    <t>BR427</t>
  </si>
  <si>
    <t>T000043</t>
  </si>
  <si>
    <t>C8041</t>
  </si>
  <si>
    <t>AC97558294</t>
  </si>
  <si>
    <t>BR480</t>
  </si>
  <si>
    <t>T000044</t>
  </si>
  <si>
    <t>C7235</t>
  </si>
  <si>
    <t>AC28803796</t>
  </si>
  <si>
    <t>BR772</t>
  </si>
  <si>
    <t>T000045</t>
  </si>
  <si>
    <t>C6486</t>
  </si>
  <si>
    <t>AC16202258</t>
  </si>
  <si>
    <t>BR677</t>
  </si>
  <si>
    <t>T000046</t>
  </si>
  <si>
    <t>C8099</t>
  </si>
  <si>
    <t>AC98225315</t>
  </si>
  <si>
    <t>BR897</t>
  </si>
  <si>
    <t>T000047</t>
  </si>
  <si>
    <t>C1775</t>
  </si>
  <si>
    <t>AC86989724</t>
  </si>
  <si>
    <t>T000048</t>
  </si>
  <si>
    <t>C9226</t>
  </si>
  <si>
    <t>AC75174203</t>
  </si>
  <si>
    <t>BR631</t>
  </si>
  <si>
    <t>T000049</t>
  </si>
  <si>
    <t>C4152</t>
  </si>
  <si>
    <t>AC80635601</t>
  </si>
  <si>
    <t>BR799</t>
  </si>
  <si>
    <t>T000050</t>
  </si>
  <si>
    <t>C2585</t>
  </si>
  <si>
    <t>AC85899393</t>
  </si>
  <si>
    <t>BR181</t>
  </si>
  <si>
    <t>T000051</t>
  </si>
  <si>
    <t>C4943</t>
  </si>
  <si>
    <t>AC28786176</t>
  </si>
  <si>
    <t>BR462</t>
  </si>
  <si>
    <t>T000052</t>
  </si>
  <si>
    <t>C8555</t>
  </si>
  <si>
    <t>AC31232430</t>
  </si>
  <si>
    <t>BR604</t>
  </si>
  <si>
    <t>T000053</t>
  </si>
  <si>
    <t>C4073</t>
  </si>
  <si>
    <t>AC50473321</t>
  </si>
  <si>
    <t>BR301</t>
  </si>
  <si>
    <t>T000054</t>
  </si>
  <si>
    <t>C2021</t>
  </si>
  <si>
    <t>AC64148094</t>
  </si>
  <si>
    <t>BR603</t>
  </si>
  <si>
    <t>T000055</t>
  </si>
  <si>
    <t>C4843</t>
  </si>
  <si>
    <t>AC30153729</t>
  </si>
  <si>
    <t>BR743</t>
  </si>
  <si>
    <t>T000056</t>
  </si>
  <si>
    <t>C8989</t>
  </si>
  <si>
    <t>AC92932418</t>
  </si>
  <si>
    <t>BR136</t>
  </si>
  <si>
    <t>T000057</t>
  </si>
  <si>
    <t>C7873</t>
  </si>
  <si>
    <t>AC22790902</t>
  </si>
  <si>
    <t>T000058</t>
  </si>
  <si>
    <t>C6675</t>
  </si>
  <si>
    <t>AC87582731</t>
  </si>
  <si>
    <t>BR688</t>
  </si>
  <si>
    <t>T000059</t>
  </si>
  <si>
    <t>C1161</t>
  </si>
  <si>
    <t>AC87973011</t>
  </si>
  <si>
    <t>BR700</t>
  </si>
  <si>
    <t>T000060</t>
  </si>
  <si>
    <t>C5297</t>
  </si>
  <si>
    <t>AC16193956</t>
  </si>
  <si>
    <t>BR501</t>
  </si>
  <si>
    <t>T000061</t>
  </si>
  <si>
    <t>C1995</t>
  </si>
  <si>
    <t>AC23579173</t>
  </si>
  <si>
    <t>BR864</t>
  </si>
  <si>
    <t>T000062</t>
  </si>
  <si>
    <t>C8629</t>
  </si>
  <si>
    <t>AC99323229</t>
  </si>
  <si>
    <t>BR955</t>
  </si>
  <si>
    <t>T000063</t>
  </si>
  <si>
    <t>C2016</t>
  </si>
  <si>
    <t>AC91638280</t>
  </si>
  <si>
    <t>BR805</t>
  </si>
  <si>
    <t>T000064</t>
  </si>
  <si>
    <t>C8869</t>
  </si>
  <si>
    <t>AC84380340</t>
  </si>
  <si>
    <t>BR275</t>
  </si>
  <si>
    <t>T000065</t>
  </si>
  <si>
    <t>C7439</t>
  </si>
  <si>
    <t>AC66761259</t>
  </si>
  <si>
    <t>BR644</t>
  </si>
  <si>
    <t>T000066</t>
  </si>
  <si>
    <t>C8892</t>
  </si>
  <si>
    <t>AC13266402</t>
  </si>
  <si>
    <t>BR669</t>
  </si>
  <si>
    <t>T000067</t>
  </si>
  <si>
    <t>C7863</t>
  </si>
  <si>
    <t>AC57044083</t>
  </si>
  <si>
    <t>BR566</t>
  </si>
  <si>
    <t>T000068</t>
  </si>
  <si>
    <t>C8916</t>
  </si>
  <si>
    <t>AC34899065</t>
  </si>
  <si>
    <t>BR300</t>
  </si>
  <si>
    <t>T000069</t>
  </si>
  <si>
    <t>C9529</t>
  </si>
  <si>
    <t>AC68436437</t>
  </si>
  <si>
    <t>BR639</t>
  </si>
  <si>
    <t>T000070</t>
  </si>
  <si>
    <t>C1878</t>
  </si>
  <si>
    <t>AC74910615</t>
  </si>
  <si>
    <t>BR646</t>
  </si>
  <si>
    <t>T000071</t>
  </si>
  <si>
    <t>C5887</t>
  </si>
  <si>
    <t>AC97994960</t>
  </si>
  <si>
    <t>BR736</t>
  </si>
  <si>
    <t>T000072</t>
  </si>
  <si>
    <t>C5859</t>
  </si>
  <si>
    <t>AC24072989</t>
  </si>
  <si>
    <t>BR493</t>
  </si>
  <si>
    <t>T000073</t>
  </si>
  <si>
    <t>C7331</t>
  </si>
  <si>
    <t>AC90235127</t>
  </si>
  <si>
    <t>BR932</t>
  </si>
  <si>
    <t>T000074</t>
  </si>
  <si>
    <t>C9571</t>
  </si>
  <si>
    <t>AC81370810</t>
  </si>
  <si>
    <t>BR141</t>
  </si>
  <si>
    <t>T000075</t>
  </si>
  <si>
    <t>C9684</t>
  </si>
  <si>
    <t>AC93976173</t>
  </si>
  <si>
    <t>BR696</t>
  </si>
  <si>
    <t>T000076</t>
  </si>
  <si>
    <t>C8208</t>
  </si>
  <si>
    <t>AC19944790</t>
  </si>
  <si>
    <t>BR492</t>
  </si>
  <si>
    <t>T000077</t>
  </si>
  <si>
    <t>C6276</t>
  </si>
  <si>
    <t>AC89908991</t>
  </si>
  <si>
    <t>T000078</t>
  </si>
  <si>
    <t>C3062</t>
  </si>
  <si>
    <t>AC91447632</t>
  </si>
  <si>
    <t>BR722</t>
  </si>
  <si>
    <t>T000079</t>
  </si>
  <si>
    <t>C1064</t>
  </si>
  <si>
    <t>AC78841329</t>
  </si>
  <si>
    <t>BR882</t>
  </si>
  <si>
    <t>T000080</t>
  </si>
  <si>
    <t>C9006</t>
  </si>
  <si>
    <t>AC63505232</t>
  </si>
  <si>
    <t>BR540</t>
  </si>
  <si>
    <t>T000081</t>
  </si>
  <si>
    <t>C3568</t>
  </si>
  <si>
    <t>AC90218637</t>
  </si>
  <si>
    <t>BR936</t>
  </si>
  <si>
    <t>T000082</t>
  </si>
  <si>
    <t>C6463</t>
  </si>
  <si>
    <t>AC54599847</t>
  </si>
  <si>
    <t>BR716</t>
  </si>
  <si>
    <t>T000083</t>
  </si>
  <si>
    <t>C3027</t>
  </si>
  <si>
    <t>AC58730049</t>
  </si>
  <si>
    <t>BR605</t>
  </si>
  <si>
    <t>T000084</t>
  </si>
  <si>
    <t>C3695</t>
  </si>
  <si>
    <t>AC46413676</t>
  </si>
  <si>
    <t>BR419</t>
  </si>
  <si>
    <t>T000085</t>
  </si>
  <si>
    <t>C6258</t>
  </si>
  <si>
    <t>AC43877350</t>
  </si>
  <si>
    <t>BR652</t>
  </si>
  <si>
    <t>T000086</t>
  </si>
  <si>
    <t>C6618</t>
  </si>
  <si>
    <t>AC71658869</t>
  </si>
  <si>
    <t>BR314</t>
  </si>
  <si>
    <t>T000087</t>
  </si>
  <si>
    <t>C7736</t>
  </si>
  <si>
    <t>AC96131989</t>
  </si>
  <si>
    <t>BR170</t>
  </si>
  <si>
    <t>T000088</t>
  </si>
  <si>
    <t>C1391</t>
  </si>
  <si>
    <t>AC76374125</t>
  </si>
  <si>
    <t>BR667</t>
  </si>
  <si>
    <t>T000089</t>
  </si>
  <si>
    <t>C6892</t>
  </si>
  <si>
    <t>AC77225603</t>
  </si>
  <si>
    <t>BR335</t>
  </si>
  <si>
    <t>T000090</t>
  </si>
  <si>
    <t>C4561</t>
  </si>
  <si>
    <t>AC41251097</t>
  </si>
  <si>
    <t>BR380</t>
  </si>
  <si>
    <t>T000091</t>
  </si>
  <si>
    <t>C7184</t>
  </si>
  <si>
    <t>AC76268268</t>
  </si>
  <si>
    <t>T000092</t>
  </si>
  <si>
    <t>C4099</t>
  </si>
  <si>
    <t>AC25985249</t>
  </si>
  <si>
    <t>BR986</t>
  </si>
  <si>
    <t>T000093</t>
  </si>
  <si>
    <t>C7278</t>
  </si>
  <si>
    <t>AC88987338</t>
  </si>
  <si>
    <t>BR261</t>
  </si>
  <si>
    <t>T000094</t>
  </si>
  <si>
    <t>C9392</t>
  </si>
  <si>
    <t>AC53309893</t>
  </si>
  <si>
    <t>BR290</t>
  </si>
  <si>
    <t>T000095</t>
  </si>
  <si>
    <t>C4104</t>
  </si>
  <si>
    <t>AC44569361</t>
  </si>
  <si>
    <t>BR108</t>
  </si>
  <si>
    <t>T000096</t>
  </si>
  <si>
    <t>C8215</t>
  </si>
  <si>
    <t>AC20971177</t>
  </si>
  <si>
    <t>BR159</t>
  </si>
  <si>
    <t>T000097</t>
  </si>
  <si>
    <t>C3454</t>
  </si>
  <si>
    <t>AC70200291</t>
  </si>
  <si>
    <t>BR992</t>
  </si>
  <si>
    <t>T000098</t>
  </si>
  <si>
    <t>C9996</t>
  </si>
  <si>
    <t>AC30080673</t>
  </si>
  <si>
    <t>BR916</t>
  </si>
  <si>
    <t>T000099</t>
  </si>
  <si>
    <t>C3731</t>
  </si>
  <si>
    <t>AC84052985</t>
  </si>
  <si>
    <t>BR324</t>
  </si>
  <si>
    <t>T000100</t>
  </si>
  <si>
    <t>C9154</t>
  </si>
  <si>
    <t>AC16238795</t>
  </si>
  <si>
    <t>BR918</t>
  </si>
  <si>
    <t>T000101</t>
  </si>
  <si>
    <t>C6056</t>
  </si>
  <si>
    <t>AC91266262</t>
  </si>
  <si>
    <t>T000102</t>
  </si>
  <si>
    <t>C9110</t>
  </si>
  <si>
    <t>AC65098996</t>
  </si>
  <si>
    <t>BR681</t>
  </si>
  <si>
    <t>T000103</t>
  </si>
  <si>
    <t>C4840</t>
  </si>
  <si>
    <t>AC57226729</t>
  </si>
  <si>
    <t>BR904</t>
  </si>
  <si>
    <t>T000104</t>
  </si>
  <si>
    <t>C2028</t>
  </si>
  <si>
    <t>AC74504149</t>
  </si>
  <si>
    <t>BR386</t>
  </si>
  <si>
    <t>T000105</t>
  </si>
  <si>
    <t>C8385</t>
  </si>
  <si>
    <t>AC61048404</t>
  </si>
  <si>
    <t>BR268</t>
  </si>
  <si>
    <t>T000106</t>
  </si>
  <si>
    <t>C1502</t>
  </si>
  <si>
    <t>AC68771482</t>
  </si>
  <si>
    <t>BR161</t>
  </si>
  <si>
    <t>T000107</t>
  </si>
  <si>
    <t>C7910</t>
  </si>
  <si>
    <t>AC80860062</t>
  </si>
  <si>
    <t>BR448</t>
  </si>
  <si>
    <t>T000108</t>
  </si>
  <si>
    <t>C7938</t>
  </si>
  <si>
    <t>AC67701082</t>
  </si>
  <si>
    <t>BR541</t>
  </si>
  <si>
    <t>T000109</t>
  </si>
  <si>
    <t>C5488</t>
  </si>
  <si>
    <t>AC25732903</t>
  </si>
  <si>
    <t>BR113</t>
  </si>
  <si>
    <t>T000110</t>
  </si>
  <si>
    <t>C1206</t>
  </si>
  <si>
    <t>AC13138145</t>
  </si>
  <si>
    <t>BR263</t>
  </si>
  <si>
    <t>T000111</t>
  </si>
  <si>
    <t>C6134</t>
  </si>
  <si>
    <t>AC39063435</t>
  </si>
  <si>
    <t>BR519</t>
  </si>
  <si>
    <t>T000112</t>
  </si>
  <si>
    <t>C6977</t>
  </si>
  <si>
    <t>AC44780908</t>
  </si>
  <si>
    <t>BR856</t>
  </si>
  <si>
    <t>T000113</t>
  </si>
  <si>
    <t>C8721</t>
  </si>
  <si>
    <t>AC47738488</t>
  </si>
  <si>
    <t>BR946</t>
  </si>
  <si>
    <t>T000114</t>
  </si>
  <si>
    <t>C8035</t>
  </si>
  <si>
    <t>AC92125254</t>
  </si>
  <si>
    <t>BR619</t>
  </si>
  <si>
    <t>T000115</t>
  </si>
  <si>
    <t>C2484</t>
  </si>
  <si>
    <t>AC56361481</t>
  </si>
  <si>
    <t>BR765</t>
  </si>
  <si>
    <t>T000116</t>
  </si>
  <si>
    <t>C8858</t>
  </si>
  <si>
    <t>AC45055276</t>
  </si>
  <si>
    <t>BR647</t>
  </si>
  <si>
    <t>T000117</t>
  </si>
  <si>
    <t>C1863</t>
  </si>
  <si>
    <t>AC63775257</t>
  </si>
  <si>
    <t>BR659</t>
  </si>
  <si>
    <t>T000118</t>
  </si>
  <si>
    <t>C3790</t>
  </si>
  <si>
    <t>AC44954715</t>
  </si>
  <si>
    <t>T000119</t>
  </si>
  <si>
    <t>C8408</t>
  </si>
  <si>
    <t>AC99813693</t>
  </si>
  <si>
    <t>BR127</t>
  </si>
  <si>
    <t>T000120</t>
  </si>
  <si>
    <t>C9755</t>
  </si>
  <si>
    <t>AC91250937</t>
  </si>
  <si>
    <t>BR807</t>
  </si>
  <si>
    <t>T000121</t>
  </si>
  <si>
    <t>C6116</t>
  </si>
  <si>
    <t>AC77800621</t>
  </si>
  <si>
    <t>BR545</t>
  </si>
  <si>
    <t>T000122</t>
  </si>
  <si>
    <t>C7019</t>
  </si>
  <si>
    <t>AC77499583</t>
  </si>
  <si>
    <t>BR307</t>
  </si>
  <si>
    <t>T000123</t>
  </si>
  <si>
    <t>C2757</t>
  </si>
  <si>
    <t>AC53470977</t>
  </si>
  <si>
    <t>BR569</t>
  </si>
  <si>
    <t>T000124</t>
  </si>
  <si>
    <t>C8574</t>
  </si>
  <si>
    <t>AC53092987</t>
  </si>
  <si>
    <t>T000125</t>
  </si>
  <si>
    <t>C7374</t>
  </si>
  <si>
    <t>AC92822506</t>
  </si>
  <si>
    <t>T000126</t>
  </si>
  <si>
    <t>C7892</t>
  </si>
  <si>
    <t>AC97182130</t>
  </si>
  <si>
    <t>BR203</t>
  </si>
  <si>
    <t>T000127</t>
  </si>
  <si>
    <t>C2678</t>
  </si>
  <si>
    <t>AC50381731</t>
  </si>
  <si>
    <t>BR841</t>
  </si>
  <si>
    <t>T000128</t>
  </si>
  <si>
    <t>C4242</t>
  </si>
  <si>
    <t>AC34694812</t>
  </si>
  <si>
    <t>BR525</t>
  </si>
  <si>
    <t>T000129</t>
  </si>
  <si>
    <t>C5636</t>
  </si>
  <si>
    <t>AC71399188</t>
  </si>
  <si>
    <t>BR200</t>
  </si>
  <si>
    <t>T000130</t>
  </si>
  <si>
    <t>C2059</t>
  </si>
  <si>
    <t>AC41970599</t>
  </si>
  <si>
    <t>BR640</t>
  </si>
  <si>
    <t>T000131</t>
  </si>
  <si>
    <t>C7668</t>
  </si>
  <si>
    <t>AC61207679</t>
  </si>
  <si>
    <t>BR738</t>
  </si>
  <si>
    <t>T000132</t>
  </si>
  <si>
    <t>C4157</t>
  </si>
  <si>
    <t>AC49787171</t>
  </si>
  <si>
    <t>BR949</t>
  </si>
  <si>
    <t>T000133</t>
  </si>
  <si>
    <t>C6915</t>
  </si>
  <si>
    <t>AC11270896</t>
  </si>
  <si>
    <t>BR621</t>
  </si>
  <si>
    <t>T000134</t>
  </si>
  <si>
    <t>C3693</t>
  </si>
  <si>
    <t>AC21952314</t>
  </si>
  <si>
    <t>BR205</t>
  </si>
  <si>
    <t>T000135</t>
  </si>
  <si>
    <t>C4627</t>
  </si>
  <si>
    <t>AC78168486</t>
  </si>
  <si>
    <t>BR778</t>
  </si>
  <si>
    <t>T000136</t>
  </si>
  <si>
    <t>C6450</t>
  </si>
  <si>
    <t>AC81531239</t>
  </si>
  <si>
    <t>BR868</t>
  </si>
  <si>
    <t>T000137</t>
  </si>
  <si>
    <t>C2663</t>
  </si>
  <si>
    <t>AC26770274</t>
  </si>
  <si>
    <t>BR906</t>
  </si>
  <si>
    <t>T000138</t>
  </si>
  <si>
    <t>C6592</t>
  </si>
  <si>
    <t>AC60709813</t>
  </si>
  <si>
    <t>BR376</t>
  </si>
  <si>
    <t>T000139</t>
  </si>
  <si>
    <t>C8392</t>
  </si>
  <si>
    <t>AC41354977</t>
  </si>
  <si>
    <t>BR164</t>
  </si>
  <si>
    <t>T000140</t>
  </si>
  <si>
    <t>C2306</t>
  </si>
  <si>
    <t>AC41873646</t>
  </si>
  <si>
    <t>T000141</t>
  </si>
  <si>
    <t>C7776</t>
  </si>
  <si>
    <t>AC81240343</t>
  </si>
  <si>
    <t>BR287</t>
  </si>
  <si>
    <t>T000142</t>
  </si>
  <si>
    <t>C6864</t>
  </si>
  <si>
    <t>AC52955157</t>
  </si>
  <si>
    <t>BR416</t>
  </si>
  <si>
    <t>T000143</t>
  </si>
  <si>
    <t>C8526</t>
  </si>
  <si>
    <t>AC69365444</t>
  </si>
  <si>
    <t>BR237</t>
  </si>
  <si>
    <t>T000144</t>
  </si>
  <si>
    <t>C9901</t>
  </si>
  <si>
    <t>AC74445751</t>
  </si>
  <si>
    <t>BR442</t>
  </si>
  <si>
    <t>T000145</t>
  </si>
  <si>
    <t>C6575</t>
  </si>
  <si>
    <t>AC95518073</t>
  </si>
  <si>
    <t>T000146</t>
  </si>
  <si>
    <t>C6530</t>
  </si>
  <si>
    <t>AC46905710</t>
  </si>
  <si>
    <t>BR645</t>
  </si>
  <si>
    <t>T000147</t>
  </si>
  <si>
    <t>C5413</t>
  </si>
  <si>
    <t>AC62673683</t>
  </si>
  <si>
    <t>BR479</t>
  </si>
  <si>
    <t>T000148</t>
  </si>
  <si>
    <t>C4748</t>
  </si>
  <si>
    <t>AC34755666</t>
  </si>
  <si>
    <t>T000149</t>
  </si>
  <si>
    <t>C1663</t>
  </si>
  <si>
    <t>AC15703394</t>
  </si>
  <si>
    <t>T000150</t>
  </si>
  <si>
    <t>C2998</t>
  </si>
  <si>
    <t>AC96654442</t>
  </si>
  <si>
    <t>BR453</t>
  </si>
  <si>
    <t>T000151</t>
  </si>
  <si>
    <t>C8994</t>
  </si>
  <si>
    <t>AC21415376</t>
  </si>
  <si>
    <t>BR842</t>
  </si>
  <si>
    <t>T000152</t>
  </si>
  <si>
    <t>C2495</t>
  </si>
  <si>
    <t>AC86176890</t>
  </si>
  <si>
    <t>T000153</t>
  </si>
  <si>
    <t>C4304</t>
  </si>
  <si>
    <t>AC23283692</t>
  </si>
  <si>
    <t>BR365</t>
  </si>
  <si>
    <t>T000154</t>
  </si>
  <si>
    <t>C4763</t>
  </si>
  <si>
    <t>AC99817241</t>
  </si>
  <si>
    <t>BR793</t>
  </si>
  <si>
    <t>T000155</t>
  </si>
  <si>
    <t>C6232</t>
  </si>
  <si>
    <t>AC33567809</t>
  </si>
  <si>
    <t>BR951</t>
  </si>
  <si>
    <t>T000156</t>
  </si>
  <si>
    <t>C2853</t>
  </si>
  <si>
    <t>AC65182836</t>
  </si>
  <si>
    <t>T000157</t>
  </si>
  <si>
    <t>C7585</t>
  </si>
  <si>
    <t>AC12721864</t>
  </si>
  <si>
    <t>BR432</t>
  </si>
  <si>
    <t>T000158</t>
  </si>
  <si>
    <t>C2291</t>
  </si>
  <si>
    <t>AC64278856</t>
  </si>
  <si>
    <t>BR612</t>
  </si>
  <si>
    <t>T000159</t>
  </si>
  <si>
    <t>C4581</t>
  </si>
  <si>
    <t>AC43458471</t>
  </si>
  <si>
    <t>BR232</t>
  </si>
  <si>
    <t>T000160</t>
  </si>
  <si>
    <t>C8554</t>
  </si>
  <si>
    <t>AC50539152</t>
  </si>
  <si>
    <t>BR691</t>
  </si>
  <si>
    <t>T000161</t>
  </si>
  <si>
    <t>C8280</t>
  </si>
  <si>
    <t>AC38104320</t>
  </si>
  <si>
    <t>T000162</t>
  </si>
  <si>
    <t>C2636</t>
  </si>
  <si>
    <t>AC84842172</t>
  </si>
  <si>
    <t>BR852</t>
  </si>
  <si>
    <t>T000163</t>
  </si>
  <si>
    <t>C4696</t>
  </si>
  <si>
    <t>AC13875754</t>
  </si>
  <si>
    <t>T000164</t>
  </si>
  <si>
    <t>C1698</t>
  </si>
  <si>
    <t>AC29482215</t>
  </si>
  <si>
    <t>BR834</t>
  </si>
  <si>
    <t>T000165</t>
  </si>
  <si>
    <t>C5737</t>
  </si>
  <si>
    <t>AC67696034</t>
  </si>
  <si>
    <t>BR634</t>
  </si>
  <si>
    <t>T000166</t>
  </si>
  <si>
    <t>C1854</t>
  </si>
  <si>
    <t>AC38356738</t>
  </si>
  <si>
    <t>BR595</t>
  </si>
  <si>
    <t>T000167</t>
  </si>
  <si>
    <t>C9164</t>
  </si>
  <si>
    <t>AC75564145</t>
  </si>
  <si>
    <t>BR720</t>
  </si>
  <si>
    <t>T000168</t>
  </si>
  <si>
    <t>C6855</t>
  </si>
  <si>
    <t>AC88021860</t>
  </si>
  <si>
    <t>BR718</t>
  </si>
  <si>
    <t>T000169</t>
  </si>
  <si>
    <t>AC20047595</t>
  </si>
  <si>
    <t>BR756</t>
  </si>
  <si>
    <t>T000170</t>
  </si>
  <si>
    <t>C7528</t>
  </si>
  <si>
    <t>AC40908587</t>
  </si>
  <si>
    <t>BR468</t>
  </si>
  <si>
    <t>T000171</t>
  </si>
  <si>
    <t>C6249</t>
  </si>
  <si>
    <t>AC32564965</t>
  </si>
  <si>
    <t>BR965</t>
  </si>
  <si>
    <t>T000172</t>
  </si>
  <si>
    <t>C6172</t>
  </si>
  <si>
    <t>AC50131083</t>
  </si>
  <si>
    <t>BR750</t>
  </si>
  <si>
    <t>T000173</t>
  </si>
  <si>
    <t>C2707</t>
  </si>
  <si>
    <t>AC83976082</t>
  </si>
  <si>
    <t>BR895</t>
  </si>
  <si>
    <t>T000174</t>
  </si>
  <si>
    <t>C6791</t>
  </si>
  <si>
    <t>AC19004644</t>
  </si>
  <si>
    <t>BR909</t>
  </si>
  <si>
    <t>T000175</t>
  </si>
  <si>
    <t>C6535</t>
  </si>
  <si>
    <t>AC57517690</t>
  </si>
  <si>
    <t>BR198</t>
  </si>
  <si>
    <t>T000176</t>
  </si>
  <si>
    <t>C5931</t>
  </si>
  <si>
    <t>AC60760636</t>
  </si>
  <si>
    <t>T000177</t>
  </si>
  <si>
    <t>C4510</t>
  </si>
  <si>
    <t>AC47639184</t>
  </si>
  <si>
    <t>BR222</t>
  </si>
  <si>
    <t>T000178</t>
  </si>
  <si>
    <t>C1202</t>
  </si>
  <si>
    <t>AC64706505</t>
  </si>
  <si>
    <t>T000179</t>
  </si>
  <si>
    <t>C5218</t>
  </si>
  <si>
    <t>AC23143608</t>
  </si>
  <si>
    <t>BR898</t>
  </si>
  <si>
    <t>T000180</t>
  </si>
  <si>
    <t>C9958</t>
  </si>
  <si>
    <t>AC46532022</t>
  </si>
  <si>
    <t>BR692</t>
  </si>
  <si>
    <t>T000181</t>
  </si>
  <si>
    <t>C5389</t>
  </si>
  <si>
    <t>AC55745469</t>
  </si>
  <si>
    <t>BR594</t>
  </si>
  <si>
    <t>T000182</t>
  </si>
  <si>
    <t>C3327</t>
  </si>
  <si>
    <t>AC98780367</t>
  </si>
  <si>
    <t>BR556</t>
  </si>
  <si>
    <t>T000183</t>
  </si>
  <si>
    <t>C9004</t>
  </si>
  <si>
    <t>AC46045138</t>
  </si>
  <si>
    <t>T000184</t>
  </si>
  <si>
    <t>C3931</t>
  </si>
  <si>
    <t>AC67874183</t>
  </si>
  <si>
    <t>T000185</t>
  </si>
  <si>
    <t>C8777</t>
  </si>
  <si>
    <t>AC69912158</t>
  </si>
  <si>
    <t>BR816</t>
  </si>
  <si>
    <t>T000186</t>
  </si>
  <si>
    <t>C1197</t>
  </si>
  <si>
    <t>AC48808656</t>
  </si>
  <si>
    <t>BR414</t>
  </si>
  <si>
    <t>T000187</t>
  </si>
  <si>
    <t>C8125</t>
  </si>
  <si>
    <t>AC20880726</t>
  </si>
  <si>
    <t>BR808</t>
  </si>
  <si>
    <t>T000188</t>
  </si>
  <si>
    <t>C2930</t>
  </si>
  <si>
    <t>AC32992356</t>
  </si>
  <si>
    <t>BR809</t>
  </si>
  <si>
    <t>T000189</t>
  </si>
  <si>
    <t>C7287</t>
  </si>
  <si>
    <t>AC30515189</t>
  </si>
  <si>
    <t>BR641</t>
  </si>
  <si>
    <t>T000190</t>
  </si>
  <si>
    <t>C9800</t>
  </si>
  <si>
    <t>AC62534223</t>
  </si>
  <si>
    <t>BR578</t>
  </si>
  <si>
    <t>T000191</t>
  </si>
  <si>
    <t>C5282</t>
  </si>
  <si>
    <t>AC33388869</t>
  </si>
  <si>
    <t>BR119</t>
  </si>
  <si>
    <t>T000192</t>
  </si>
  <si>
    <t>C3511</t>
  </si>
  <si>
    <t>AC60795719</t>
  </si>
  <si>
    <t>T000193</t>
  </si>
  <si>
    <t>C1659</t>
  </si>
  <si>
    <t>AC98798296</t>
  </si>
  <si>
    <t>BR229</t>
  </si>
  <si>
    <t>T000194</t>
  </si>
  <si>
    <t>C3811</t>
  </si>
  <si>
    <t>AC20563214</t>
  </si>
  <si>
    <t>BR392</t>
  </si>
  <si>
    <t>T000195</t>
  </si>
  <si>
    <t>C8098</t>
  </si>
  <si>
    <t>AC34374842</t>
  </si>
  <si>
    <t>T000196</t>
  </si>
  <si>
    <t>C7546</t>
  </si>
  <si>
    <t>AC91252249</t>
  </si>
  <si>
    <t>BR231</t>
  </si>
  <si>
    <t>T000197</t>
  </si>
  <si>
    <t>C2986</t>
  </si>
  <si>
    <t>AC97384552</t>
  </si>
  <si>
    <t>T000198</t>
  </si>
  <si>
    <t>C9338</t>
  </si>
  <si>
    <t>AC38172140</t>
  </si>
  <si>
    <t>BR153</t>
  </si>
  <si>
    <t>T000199</t>
  </si>
  <si>
    <t>C3911</t>
  </si>
  <si>
    <t>AC68701337</t>
  </si>
  <si>
    <t>BR989</t>
  </si>
  <si>
    <t>T000200</t>
  </si>
  <si>
    <t>C2734</t>
  </si>
  <si>
    <t>AC45119150</t>
  </si>
  <si>
    <t>BR892</t>
  </si>
  <si>
    <t>T000201</t>
  </si>
  <si>
    <t>C2843</t>
  </si>
  <si>
    <t>AC65471391</t>
  </si>
  <si>
    <t>BR486</t>
  </si>
  <si>
    <t>T000202</t>
  </si>
  <si>
    <t>C9680</t>
  </si>
  <si>
    <t>AC87632265</t>
  </si>
  <si>
    <t>BR364</t>
  </si>
  <si>
    <t>T000203</t>
  </si>
  <si>
    <t>C3976</t>
  </si>
  <si>
    <t>AC91597126</t>
  </si>
  <si>
    <t>T000204</t>
  </si>
  <si>
    <t>C2959</t>
  </si>
  <si>
    <t>AC33387092</t>
  </si>
  <si>
    <t>BR559</t>
  </si>
  <si>
    <t>T000205</t>
  </si>
  <si>
    <t>C6759</t>
  </si>
  <si>
    <t>AC29156053</t>
  </si>
  <si>
    <t>BR557</t>
  </si>
  <si>
    <t>T000206</t>
  </si>
  <si>
    <t>C7694</t>
  </si>
  <si>
    <t>AC49678201</t>
  </si>
  <si>
    <t>T000207</t>
  </si>
  <si>
    <t>C3385</t>
  </si>
  <si>
    <t>AC11524102</t>
  </si>
  <si>
    <t>BR142</t>
  </si>
  <si>
    <t>T000208</t>
  </si>
  <si>
    <t>C5736</t>
  </si>
  <si>
    <t>AC21579149</t>
  </si>
  <si>
    <t>BR685</t>
  </si>
  <si>
    <t>T000209</t>
  </si>
  <si>
    <t>C2802</t>
  </si>
  <si>
    <t>AC52607220</t>
  </si>
  <si>
    <t>BR961</t>
  </si>
  <si>
    <t>T000210</t>
  </si>
  <si>
    <t>C9155</t>
  </si>
  <si>
    <t>AC62715014</t>
  </si>
  <si>
    <t>BR377</t>
  </si>
  <si>
    <t>T000211</t>
  </si>
  <si>
    <t>C9120</t>
  </si>
  <si>
    <t>AC79144712</t>
  </si>
  <si>
    <t>BR937</t>
  </si>
  <si>
    <t>T000212</t>
  </si>
  <si>
    <t>C7616</t>
  </si>
  <si>
    <t>AC31900146</t>
  </si>
  <si>
    <t>BR853</t>
  </si>
  <si>
    <t>T000213</t>
  </si>
  <si>
    <t>C6534</t>
  </si>
  <si>
    <t>AC87937327</t>
  </si>
  <si>
    <t>T000214</t>
  </si>
  <si>
    <t>C5061</t>
  </si>
  <si>
    <t>AC19913841</t>
  </si>
  <si>
    <t>BR449</t>
  </si>
  <si>
    <t>T000215</t>
  </si>
  <si>
    <t>C1262</t>
  </si>
  <si>
    <t>AC76626362</t>
  </si>
  <si>
    <t>T000216</t>
  </si>
  <si>
    <t>AC39061846</t>
  </si>
  <si>
    <t>BR643</t>
  </si>
  <si>
    <t>T000217</t>
  </si>
  <si>
    <t>C9815</t>
  </si>
  <si>
    <t>AC70523996</t>
  </si>
  <si>
    <t>T000218</t>
  </si>
  <si>
    <t>C3049</t>
  </si>
  <si>
    <t>AC33468625</t>
  </si>
  <si>
    <t>T000219</t>
  </si>
  <si>
    <t>C6423</t>
  </si>
  <si>
    <t>AC88566365</t>
  </si>
  <si>
    <t>BR100</t>
  </si>
  <si>
    <t>T000220</t>
  </si>
  <si>
    <t>C5548</t>
  </si>
  <si>
    <t>AC13433382</t>
  </si>
  <si>
    <t>T000221</t>
  </si>
  <si>
    <t>C4108</t>
  </si>
  <si>
    <t>AC85779042</t>
  </si>
  <si>
    <t>BR683</t>
  </si>
  <si>
    <t>T000222</t>
  </si>
  <si>
    <t>C8158</t>
  </si>
  <si>
    <t>AC38348817</t>
  </si>
  <si>
    <t>BR531</t>
  </si>
  <si>
    <t>T000223</t>
  </si>
  <si>
    <t>C8400</t>
  </si>
  <si>
    <t>AC80503913</t>
  </si>
  <si>
    <t>BR405</t>
  </si>
  <si>
    <t>T000224</t>
  </si>
  <si>
    <t>C4170</t>
  </si>
  <si>
    <t>AC93952230</t>
  </si>
  <si>
    <t>BR626</t>
  </si>
  <si>
    <t>T000225</t>
  </si>
  <si>
    <t>C3255</t>
  </si>
  <si>
    <t>AC34728848</t>
  </si>
  <si>
    <t>BR152</t>
  </si>
  <si>
    <t>T000226</t>
  </si>
  <si>
    <t>C2154</t>
  </si>
  <si>
    <t>AC20822814</t>
  </si>
  <si>
    <t>T000227</t>
  </si>
  <si>
    <t>C5499</t>
  </si>
  <si>
    <t>AC99967767</t>
  </si>
  <si>
    <t>BR429</t>
  </si>
  <si>
    <t>T000228</t>
  </si>
  <si>
    <t>C7295</t>
  </si>
  <si>
    <t>AC58356322</t>
  </si>
  <si>
    <t>BR657</t>
  </si>
  <si>
    <t>T000229</t>
  </si>
  <si>
    <t>C7197</t>
  </si>
  <si>
    <t>AC62879148</t>
  </si>
  <si>
    <t>BR424</t>
  </si>
  <si>
    <t>T000230</t>
  </si>
  <si>
    <t>C2648</t>
  </si>
  <si>
    <t>AC72076001</t>
  </si>
  <si>
    <t>BR213</t>
  </si>
  <si>
    <t>T000231</t>
  </si>
  <si>
    <t>C6539</t>
  </si>
  <si>
    <t>AC52942594</t>
  </si>
  <si>
    <t>BR246</t>
  </si>
  <si>
    <t>T000232</t>
  </si>
  <si>
    <t>C5199</t>
  </si>
  <si>
    <t>AC47747492</t>
  </si>
  <si>
    <t>BR265</t>
  </si>
  <si>
    <t>T000233</t>
  </si>
  <si>
    <t>C9445</t>
  </si>
  <si>
    <t>AC25170521</t>
  </si>
  <si>
    <t>BR478</t>
  </si>
  <si>
    <t>T000234</t>
  </si>
  <si>
    <t>C3557</t>
  </si>
  <si>
    <t>AC35841846</t>
  </si>
  <si>
    <t>BR238</t>
  </si>
  <si>
    <t>T000235</t>
  </si>
  <si>
    <t>AC22267883</t>
  </si>
  <si>
    <t>BR728</t>
  </si>
  <si>
    <t>T000236</t>
  </si>
  <si>
    <t>C1098</t>
  </si>
  <si>
    <t>AC52639398</t>
  </si>
  <si>
    <t>T000237</t>
  </si>
  <si>
    <t>C3200</t>
  </si>
  <si>
    <t>AC21984398</t>
  </si>
  <si>
    <t>BR375</t>
  </si>
  <si>
    <t>T000238</t>
  </si>
  <si>
    <t>C3961</t>
  </si>
  <si>
    <t>AC45396080</t>
  </si>
  <si>
    <t>BR888</t>
  </si>
  <si>
    <t>T000239</t>
  </si>
  <si>
    <t>C5973</t>
  </si>
  <si>
    <t>AC40715395</t>
  </si>
  <si>
    <t>T000240</t>
  </si>
  <si>
    <t>C5433</t>
  </si>
  <si>
    <t>AC50686940</t>
  </si>
  <si>
    <t>BR924</t>
  </si>
  <si>
    <t>T000241</t>
  </si>
  <si>
    <t>C3869</t>
  </si>
  <si>
    <t>AC33215061</t>
  </si>
  <si>
    <t>BR277</t>
  </si>
  <si>
    <t>T000242</t>
  </si>
  <si>
    <t>C1956</t>
  </si>
  <si>
    <t>AC36854296</t>
  </si>
  <si>
    <t>BR941</t>
  </si>
  <si>
    <t>T000243</t>
  </si>
  <si>
    <t>C9352</t>
  </si>
  <si>
    <t>AC92058636</t>
  </si>
  <si>
    <t>T000244</t>
  </si>
  <si>
    <t>C6699</t>
  </si>
  <si>
    <t>AC13828433</t>
  </si>
  <si>
    <t>BR253</t>
  </si>
  <si>
    <t>T000245</t>
  </si>
  <si>
    <t>C7944</t>
  </si>
  <si>
    <t>AC96621344</t>
  </si>
  <si>
    <t>T000246</t>
  </si>
  <si>
    <t>C5493</t>
  </si>
  <si>
    <t>AC57149071</t>
  </si>
  <si>
    <t>BR977</t>
  </si>
  <si>
    <t>T000247</t>
  </si>
  <si>
    <t>C5911</t>
  </si>
  <si>
    <t>AC98334828</t>
  </si>
  <si>
    <t>BR214</t>
  </si>
  <si>
    <t>T000248</t>
  </si>
  <si>
    <t>C4987</t>
  </si>
  <si>
    <t>AC17152747</t>
  </si>
  <si>
    <t>BR770</t>
  </si>
  <si>
    <t>T000249</t>
  </si>
  <si>
    <t>C7015</t>
  </si>
  <si>
    <t>AC71029245</t>
  </si>
  <si>
    <t>BR653</t>
  </si>
  <si>
    <t>T000250</t>
  </si>
  <si>
    <t>C2218</t>
  </si>
  <si>
    <t>AC58344513</t>
  </si>
  <si>
    <t>BR858</t>
  </si>
  <si>
    <t>T000251</t>
  </si>
  <si>
    <t>C5496</t>
  </si>
  <si>
    <t>AC11020154</t>
  </si>
  <si>
    <t>BR167</t>
  </si>
  <si>
    <t>T000252</t>
  </si>
  <si>
    <t>C5735</t>
  </si>
  <si>
    <t>AC48499601</t>
  </si>
  <si>
    <t>BR544</t>
  </si>
  <si>
    <t>T000253</t>
  </si>
  <si>
    <t>AC16733215</t>
  </si>
  <si>
    <t>T000254</t>
  </si>
  <si>
    <t>C9050</t>
  </si>
  <si>
    <t>AC85304674</t>
  </si>
  <si>
    <t>BR425</t>
  </si>
  <si>
    <t>T000255</t>
  </si>
  <si>
    <t>C4446</t>
  </si>
  <si>
    <t>AC42339834</t>
  </si>
  <si>
    <t>BR945</t>
  </si>
  <si>
    <t>T000256</t>
  </si>
  <si>
    <t>C2045</t>
  </si>
  <si>
    <t>AC50739629</t>
  </si>
  <si>
    <t>T000257</t>
  </si>
  <si>
    <t>C7893</t>
  </si>
  <si>
    <t>AC39900787</t>
  </si>
  <si>
    <t>BR701</t>
  </si>
  <si>
    <t>T000258</t>
  </si>
  <si>
    <t>C2693</t>
  </si>
  <si>
    <t>AC83823165</t>
  </si>
  <si>
    <t>T000259</t>
  </si>
  <si>
    <t>C4436</t>
  </si>
  <si>
    <t>AC37259197</t>
  </si>
  <si>
    <t>BR979</t>
  </si>
  <si>
    <t>T000260</t>
  </si>
  <si>
    <t>C9754</t>
  </si>
  <si>
    <t>AC57784180</t>
  </si>
  <si>
    <t>BR458</t>
  </si>
  <si>
    <t>T000261</t>
  </si>
  <si>
    <t>C6895</t>
  </si>
  <si>
    <t>AC57379179</t>
  </si>
  <si>
    <t>BR244</t>
  </si>
  <si>
    <t>T000262</t>
  </si>
  <si>
    <t>C4354</t>
  </si>
  <si>
    <t>AC20760888</t>
  </si>
  <si>
    <t>BR374</t>
  </si>
  <si>
    <t>T000263</t>
  </si>
  <si>
    <t>C1225</t>
  </si>
  <si>
    <t>AC88414095</t>
  </si>
  <si>
    <t>BR608</t>
  </si>
  <si>
    <t>T000264</t>
  </si>
  <si>
    <t>C5893</t>
  </si>
  <si>
    <t>AC75856750</t>
  </si>
  <si>
    <t>BR278</t>
  </si>
  <si>
    <t>T000265</t>
  </si>
  <si>
    <t>C8022</t>
  </si>
  <si>
    <t>AC88483721</t>
  </si>
  <si>
    <t>T000266</t>
  </si>
  <si>
    <t>C6600</t>
  </si>
  <si>
    <t>AC59464216</t>
  </si>
  <si>
    <t>T000267</t>
  </si>
  <si>
    <t>C8996</t>
  </si>
  <si>
    <t>AC74884070</t>
  </si>
  <si>
    <t>BR930</t>
  </si>
  <si>
    <t>T000268</t>
  </si>
  <si>
    <t>C8683</t>
  </si>
  <si>
    <t>AC90884100</t>
  </si>
  <si>
    <t>BR576</t>
  </si>
  <si>
    <t>T000269</t>
  </si>
  <si>
    <t>C5642</t>
  </si>
  <si>
    <t>AC68075712</t>
  </si>
  <si>
    <t>BR942</t>
  </si>
  <si>
    <t>T000270</t>
  </si>
  <si>
    <t>C8679</t>
  </si>
  <si>
    <t>AC96015965</t>
  </si>
  <si>
    <t>BR513</t>
  </si>
  <si>
    <t>T000271</t>
  </si>
  <si>
    <t>C9208</t>
  </si>
  <si>
    <t>AC24372528</t>
  </si>
  <si>
    <t>BR252</t>
  </si>
  <si>
    <t>T000272</t>
  </si>
  <si>
    <t>C8339</t>
  </si>
  <si>
    <t>AC81829506</t>
  </si>
  <si>
    <t>T000273</t>
  </si>
  <si>
    <t>C3205</t>
  </si>
  <si>
    <t>AC56695565</t>
  </si>
  <si>
    <t>BR174</t>
  </si>
  <si>
    <t>T000274</t>
  </si>
  <si>
    <t>C2069</t>
  </si>
  <si>
    <t>AC77658103</t>
  </si>
  <si>
    <t>BR227</t>
  </si>
  <si>
    <t>T000275</t>
  </si>
  <si>
    <t>C4444</t>
  </si>
  <si>
    <t>AC35722525</t>
  </si>
  <si>
    <t>BR810</t>
  </si>
  <si>
    <t>T000276</t>
  </si>
  <si>
    <t>C2060</t>
  </si>
  <si>
    <t>AC48963185</t>
  </si>
  <si>
    <t>T000277</t>
  </si>
  <si>
    <t>AC74674115</t>
  </si>
  <si>
    <t>T000278</t>
  </si>
  <si>
    <t>C4420</t>
  </si>
  <si>
    <t>AC73813565</t>
  </si>
  <si>
    <t>BR889</t>
  </si>
  <si>
    <t>T000279</t>
  </si>
  <si>
    <t>C1301</t>
  </si>
  <si>
    <t>AC56571160</t>
  </si>
  <si>
    <t>BR444</t>
  </si>
  <si>
    <t>T000280</t>
  </si>
  <si>
    <t>C1606</t>
  </si>
  <si>
    <t>AC86767936</t>
  </si>
  <si>
    <t>BR630</t>
  </si>
  <si>
    <t>T000281</t>
  </si>
  <si>
    <t>AC27562548</t>
  </si>
  <si>
    <t>BR258</t>
  </si>
  <si>
    <t>T000282</t>
  </si>
  <si>
    <t>C1699</t>
  </si>
  <si>
    <t>AC91485805</t>
  </si>
  <si>
    <t>BR637</t>
  </si>
  <si>
    <t>T000283</t>
  </si>
  <si>
    <t>C6088</t>
  </si>
  <si>
    <t>AC69488206</t>
  </si>
  <si>
    <t>T000284</t>
  </si>
  <si>
    <t>C1190</t>
  </si>
  <si>
    <t>AC77506574</t>
  </si>
  <si>
    <t>BR780</t>
  </si>
  <si>
    <t>T000285</t>
  </si>
  <si>
    <t>C1980</t>
  </si>
  <si>
    <t>AC50057648</t>
  </si>
  <si>
    <t>BR122</t>
  </si>
  <si>
    <t>T000286</t>
  </si>
  <si>
    <t>C3975</t>
  </si>
  <si>
    <t>AC81425912</t>
  </si>
  <si>
    <t>BR146</t>
  </si>
  <si>
    <t>T000287</t>
  </si>
  <si>
    <t>C7102</t>
  </si>
  <si>
    <t>AC91242298</t>
  </si>
  <si>
    <t>BR624</t>
  </si>
  <si>
    <t>T000288</t>
  </si>
  <si>
    <t>AC63520377</t>
  </si>
  <si>
    <t>BR828</t>
  </si>
  <si>
    <t>T000289</t>
  </si>
  <si>
    <t>C4327</t>
  </si>
  <si>
    <t>AC81894820</t>
  </si>
  <si>
    <t>BR933</t>
  </si>
  <si>
    <t>T000290</t>
  </si>
  <si>
    <t>C4394</t>
  </si>
  <si>
    <t>AC31882940</t>
  </si>
  <si>
    <t>T000291</t>
  </si>
  <si>
    <t>C9319</t>
  </si>
  <si>
    <t>AC48580196</t>
  </si>
  <si>
    <t>BR243</t>
  </si>
  <si>
    <t>T000292</t>
  </si>
  <si>
    <t>C2816</t>
  </si>
  <si>
    <t>AC58665285</t>
  </si>
  <si>
    <t>T000293</t>
  </si>
  <si>
    <t>C6854</t>
  </si>
  <si>
    <t>AC68327846</t>
  </si>
  <si>
    <t>BR767</t>
  </si>
  <si>
    <t>T000294</t>
  </si>
  <si>
    <t>C7709</t>
  </si>
  <si>
    <t>AC27687991</t>
  </si>
  <si>
    <t>T000295</t>
  </si>
  <si>
    <t>C1569</t>
  </si>
  <si>
    <t>AC49509310</t>
  </si>
  <si>
    <t>BR518</t>
  </si>
  <si>
    <t>T000296</t>
  </si>
  <si>
    <t>C6442</t>
  </si>
  <si>
    <t>AC41061293</t>
  </si>
  <si>
    <t>T000297</t>
  </si>
  <si>
    <t>C2895</t>
  </si>
  <si>
    <t>AC40272855</t>
  </si>
  <si>
    <t>T000298</t>
  </si>
  <si>
    <t>C3733</t>
  </si>
  <si>
    <t>AC94445004</t>
  </si>
  <si>
    <t>BR184</t>
  </si>
  <si>
    <t>T000299</t>
  </si>
  <si>
    <t>C4863</t>
  </si>
  <si>
    <t>AC97767265</t>
  </si>
  <si>
    <t>BR515</t>
  </si>
  <si>
    <t>T000300</t>
  </si>
  <si>
    <t>C8455</t>
  </si>
  <si>
    <t>AC56316696</t>
  </si>
  <si>
    <t>T000301</t>
  </si>
  <si>
    <t>C5014</t>
  </si>
  <si>
    <t>AC20679043</t>
  </si>
  <si>
    <t>BR581</t>
  </si>
  <si>
    <t>T000302</t>
  </si>
  <si>
    <t>C2686</t>
  </si>
  <si>
    <t>AC65498298</t>
  </si>
  <si>
    <t>BR555</t>
  </si>
  <si>
    <t>T000303</t>
  </si>
  <si>
    <t>C4009</t>
  </si>
  <si>
    <t>AC32470291</t>
  </si>
  <si>
    <t>BR926</t>
  </si>
  <si>
    <t>T000304</t>
  </si>
  <si>
    <t>C8806</t>
  </si>
  <si>
    <t>AC60763061</t>
  </si>
  <si>
    <t>BR396</t>
  </si>
  <si>
    <t>T000305</t>
  </si>
  <si>
    <t>C1154</t>
  </si>
  <si>
    <t>AC70072820</t>
  </si>
  <si>
    <t>BR211</t>
  </si>
  <si>
    <t>T000306</t>
  </si>
  <si>
    <t>C2409</t>
  </si>
  <si>
    <t>AC87921522</t>
  </si>
  <si>
    <t>BR329</t>
  </si>
  <si>
    <t>T000307</t>
  </si>
  <si>
    <t>C1784</t>
  </si>
  <si>
    <t>AC64496748</t>
  </si>
  <si>
    <t>BR195</t>
  </si>
  <si>
    <t>T000308</t>
  </si>
  <si>
    <t>C9096</t>
  </si>
  <si>
    <t>AC61195209</t>
  </si>
  <si>
    <t>BR779</t>
  </si>
  <si>
    <t>T000309</t>
  </si>
  <si>
    <t>C8560</t>
  </si>
  <si>
    <t>AC77411050</t>
  </si>
  <si>
    <t>BR477</t>
  </si>
  <si>
    <t>T000310</t>
  </si>
  <si>
    <t>C8343</t>
  </si>
  <si>
    <t>AC97093473</t>
  </si>
  <si>
    <t>BR255</t>
  </si>
  <si>
    <t>T000311</t>
  </si>
  <si>
    <t>C8206</t>
  </si>
  <si>
    <t>AC49043896</t>
  </si>
  <si>
    <t>BR520</t>
  </si>
  <si>
    <t>T000312</t>
  </si>
  <si>
    <t>C6596</t>
  </si>
  <si>
    <t>AC17456985</t>
  </si>
  <si>
    <t>T000313</t>
  </si>
  <si>
    <t>C6801</t>
  </si>
  <si>
    <t>AC33544744</t>
  </si>
  <si>
    <t>BR804</t>
  </si>
  <si>
    <t>T000314</t>
  </si>
  <si>
    <t>C3806</t>
  </si>
  <si>
    <t>AC94912633</t>
  </si>
  <si>
    <t>T000315</t>
  </si>
  <si>
    <t>C1537</t>
  </si>
  <si>
    <t>AC68865527</t>
  </si>
  <si>
    <t>BR538</t>
  </si>
  <si>
    <t>T000316</t>
  </si>
  <si>
    <t>C6986</t>
  </si>
  <si>
    <t>AC37381509</t>
  </si>
  <si>
    <t>T000317</t>
  </si>
  <si>
    <t>C2841</t>
  </si>
  <si>
    <t>AC93836420</t>
  </si>
  <si>
    <t>BR966</t>
  </si>
  <si>
    <t>T000318</t>
  </si>
  <si>
    <t>C9716</t>
  </si>
  <si>
    <t>AC30521013</t>
  </si>
  <si>
    <t>BR481</t>
  </si>
  <si>
    <t>T000319</t>
  </si>
  <si>
    <t>C7971</t>
  </si>
  <si>
    <t>AC11514542</t>
  </si>
  <si>
    <t>T000320</t>
  </si>
  <si>
    <t>C6625</t>
  </si>
  <si>
    <t>AC47735088</t>
  </si>
  <si>
    <t>T000321</t>
  </si>
  <si>
    <t>C3950</t>
  </si>
  <si>
    <t>AC88427656</t>
  </si>
  <si>
    <t>BR369</t>
  </si>
  <si>
    <t>T000322</t>
  </si>
  <si>
    <t>C8992</t>
  </si>
  <si>
    <t>AC25135763</t>
  </si>
  <si>
    <t>BR649</t>
  </si>
  <si>
    <t>T000323</t>
  </si>
  <si>
    <t>C5780</t>
  </si>
  <si>
    <t>AC85785788</t>
  </si>
  <si>
    <t>BR495</t>
  </si>
  <si>
    <t>T000324</t>
  </si>
  <si>
    <t>C3368</t>
  </si>
  <si>
    <t>AC53951994</t>
  </si>
  <si>
    <t>T000325</t>
  </si>
  <si>
    <t>C7655</t>
  </si>
  <si>
    <t>AC75489314</t>
  </si>
  <si>
    <t>T000326</t>
  </si>
  <si>
    <t>C9173</t>
  </si>
  <si>
    <t>AC45383985</t>
  </si>
  <si>
    <t>BR774</t>
  </si>
  <si>
    <t>T000327</t>
  </si>
  <si>
    <t>C5495</t>
  </si>
  <si>
    <t>AC46595773</t>
  </si>
  <si>
    <t>BR549</t>
  </si>
  <si>
    <t>T000328</t>
  </si>
  <si>
    <t>C7002</t>
  </si>
  <si>
    <t>AC24315679</t>
  </si>
  <si>
    <t>BR430</t>
  </si>
  <si>
    <t>T000329</t>
  </si>
  <si>
    <t>C7614</t>
  </si>
  <si>
    <t>AC34440805</t>
  </si>
  <si>
    <t>BR352</t>
  </si>
  <si>
    <t>T000330</t>
  </si>
  <si>
    <t>C6919</t>
  </si>
  <si>
    <t>AC31765239</t>
  </si>
  <si>
    <t>T000331</t>
  </si>
  <si>
    <t>C1853</t>
  </si>
  <si>
    <t>AC34586222</t>
  </si>
  <si>
    <t>BR384</t>
  </si>
  <si>
    <t>T000332</t>
  </si>
  <si>
    <t>C5146</t>
  </si>
  <si>
    <t>AC25527000</t>
  </si>
  <si>
    <t>BR373</t>
  </si>
  <si>
    <t>T000333</t>
  </si>
  <si>
    <t>C4769</t>
  </si>
  <si>
    <t>AC95561923</t>
  </si>
  <si>
    <t>T000334</t>
  </si>
  <si>
    <t>C1574</t>
  </si>
  <si>
    <t>AC85532173</t>
  </si>
  <si>
    <t>T000335</t>
  </si>
  <si>
    <t>C2148</t>
  </si>
  <si>
    <t>AC80337892</t>
  </si>
  <si>
    <t>T000336</t>
  </si>
  <si>
    <t>C7293</t>
  </si>
  <si>
    <t>AC95607690</t>
  </si>
  <si>
    <t>BR517</t>
  </si>
  <si>
    <t>T000337</t>
  </si>
  <si>
    <t>C7457</t>
  </si>
  <si>
    <t>AC20569320</t>
  </si>
  <si>
    <t>BR409</t>
  </si>
  <si>
    <t>T000338</t>
  </si>
  <si>
    <t>C8509</t>
  </si>
  <si>
    <t>AC79448631</t>
  </si>
  <si>
    <t>BR130</t>
  </si>
  <si>
    <t>T000339</t>
  </si>
  <si>
    <t>C5777</t>
  </si>
  <si>
    <t>AC77001666</t>
  </si>
  <si>
    <t>BR925</t>
  </si>
  <si>
    <t>T000340</t>
  </si>
  <si>
    <t>C4854</t>
  </si>
  <si>
    <t>AC29391451</t>
  </si>
  <si>
    <t>T000341</t>
  </si>
  <si>
    <t>C3491</t>
  </si>
  <si>
    <t>AC44045468</t>
  </si>
  <si>
    <t>BR781</t>
  </si>
  <si>
    <t>T000342</t>
  </si>
  <si>
    <t>C4124</t>
  </si>
  <si>
    <t>AC69047560</t>
  </si>
  <si>
    <t>BR285</t>
  </si>
  <si>
    <t>T000343</t>
  </si>
  <si>
    <t>C6691</t>
  </si>
  <si>
    <t>AC66378562</t>
  </si>
  <si>
    <t>T000344</t>
  </si>
  <si>
    <t>C4051</t>
  </si>
  <si>
    <t>AC87960088</t>
  </si>
  <si>
    <t>BR309</t>
  </si>
  <si>
    <t>T000345</t>
  </si>
  <si>
    <t>C1004</t>
  </si>
  <si>
    <t>AC46264673</t>
  </si>
  <si>
    <t>T000346</t>
  </si>
  <si>
    <t>C6222</t>
  </si>
  <si>
    <t>AC88931275</t>
  </si>
  <si>
    <t>T000347</t>
  </si>
  <si>
    <t>C6315</t>
  </si>
  <si>
    <t>AC27920169</t>
  </si>
  <si>
    <t>T000348</t>
  </si>
  <si>
    <t>C5869</t>
  </si>
  <si>
    <t>AC81087566</t>
  </si>
  <si>
    <t>BR118</t>
  </si>
  <si>
    <t>T000349</t>
  </si>
  <si>
    <t>C1876</t>
  </si>
  <si>
    <t>AC94212996</t>
  </si>
  <si>
    <t>BR811</t>
  </si>
  <si>
    <t>T000350</t>
  </si>
  <si>
    <t>C8027</t>
  </si>
  <si>
    <t>AC80706570</t>
  </si>
  <si>
    <t>BR831</t>
  </si>
  <si>
    <t>T000351</t>
  </si>
  <si>
    <t>C5142</t>
  </si>
  <si>
    <t>AC10605409</t>
  </si>
  <si>
    <t>BR235</t>
  </si>
  <si>
    <t>T000352</t>
  </si>
  <si>
    <t>C7966</t>
  </si>
  <si>
    <t>AC19462743</t>
  </si>
  <si>
    <t>BR322</t>
  </si>
  <si>
    <t>T000353</t>
  </si>
  <si>
    <t>C8079</t>
  </si>
  <si>
    <t>AC21377787</t>
  </si>
  <si>
    <t>BR102</t>
  </si>
  <si>
    <t>T000354</t>
  </si>
  <si>
    <t>C8987</t>
  </si>
  <si>
    <t>AC31827621</t>
  </si>
  <si>
    <t>T000355</t>
  </si>
  <si>
    <t>C7799</t>
  </si>
  <si>
    <t>AC51892167</t>
  </si>
  <si>
    <t>BR953</t>
  </si>
  <si>
    <t>T000356</t>
  </si>
  <si>
    <t>C5465</t>
  </si>
  <si>
    <t>AC45280122</t>
  </si>
  <si>
    <t>BR564</t>
  </si>
  <si>
    <t>T000357</t>
  </si>
  <si>
    <t>C1635</t>
  </si>
  <si>
    <t>AC30057988</t>
  </si>
  <si>
    <t>BR327</t>
  </si>
  <si>
    <t>T000358</t>
  </si>
  <si>
    <t>AC85306159</t>
  </si>
  <si>
    <t>BR753</t>
  </si>
  <si>
    <t>T000359</t>
  </si>
  <si>
    <t>C5752</t>
  </si>
  <si>
    <t>AC15809041</t>
  </si>
  <si>
    <t>BR598</t>
  </si>
  <si>
    <t>T000360</t>
  </si>
  <si>
    <t>C9311</t>
  </si>
  <si>
    <t>AC89655365</t>
  </si>
  <si>
    <t>BR620</t>
  </si>
  <si>
    <t>T000361</t>
  </si>
  <si>
    <t>C1830</t>
  </si>
  <si>
    <t>AC16155579</t>
  </si>
  <si>
    <t>BR801</t>
  </si>
  <si>
    <t>T000362</t>
  </si>
  <si>
    <t>C6177</t>
  </si>
  <si>
    <t>AC77511983</t>
  </si>
  <si>
    <t>T000363</t>
  </si>
  <si>
    <t>C9932</t>
  </si>
  <si>
    <t>AC93665691</t>
  </si>
  <si>
    <t>BR776</t>
  </si>
  <si>
    <t>T000364</t>
  </si>
  <si>
    <t>C9308</t>
  </si>
  <si>
    <t>AC68544068</t>
  </si>
  <si>
    <t>T000365</t>
  </si>
  <si>
    <t>C6949</t>
  </si>
  <si>
    <t>AC42027216</t>
  </si>
  <si>
    <t>T000366</t>
  </si>
  <si>
    <t>C3838</t>
  </si>
  <si>
    <t>AC43957164</t>
  </si>
  <si>
    <t>BR390</t>
  </si>
  <si>
    <t>T000367</t>
  </si>
  <si>
    <t>C2150</t>
  </si>
  <si>
    <t>AC60837727</t>
  </si>
  <si>
    <t>T000368</t>
  </si>
  <si>
    <t>AC79058877</t>
  </si>
  <si>
    <t>BR786</t>
  </si>
  <si>
    <t>T000369</t>
  </si>
  <si>
    <t>C2931</t>
  </si>
  <si>
    <t>AC11132658</t>
  </si>
  <si>
    <t>T000370</t>
  </si>
  <si>
    <t>C2664</t>
  </si>
  <si>
    <t>AC62316857</t>
  </si>
  <si>
    <t>BR814</t>
  </si>
  <si>
    <t>T000371</t>
  </si>
  <si>
    <t>C2081</t>
  </si>
  <si>
    <t>AC47877058</t>
  </si>
  <si>
    <t>BR747</t>
  </si>
  <si>
    <t>T000372</t>
  </si>
  <si>
    <t>C1512</t>
  </si>
  <si>
    <t>AC27434167</t>
  </si>
  <si>
    <t>BR103</t>
  </si>
  <si>
    <t>T000373</t>
  </si>
  <si>
    <t>C8805</t>
  </si>
  <si>
    <t>AC35177127</t>
  </si>
  <si>
    <t>BR766</t>
  </si>
  <si>
    <t>T000374</t>
  </si>
  <si>
    <t>C6237</t>
  </si>
  <si>
    <t>AC63811239</t>
  </si>
  <si>
    <t>BR783</t>
  </si>
  <si>
    <t>T000375</t>
  </si>
  <si>
    <t>C1559</t>
  </si>
  <si>
    <t>AC23881178</t>
  </si>
  <si>
    <t>BR969</t>
  </si>
  <si>
    <t>T000376</t>
  </si>
  <si>
    <t>C4672</t>
  </si>
  <si>
    <t>AC99089996</t>
  </si>
  <si>
    <t>T000377</t>
  </si>
  <si>
    <t>C8404</t>
  </si>
  <si>
    <t>AC83135852</t>
  </si>
  <si>
    <t>BR193</t>
  </si>
  <si>
    <t>T000378</t>
  </si>
  <si>
    <t>C4343</t>
  </si>
  <si>
    <t>AC75111328</t>
  </si>
  <si>
    <t>T000379</t>
  </si>
  <si>
    <t>C5070</t>
  </si>
  <si>
    <t>AC25590661</t>
  </si>
  <si>
    <t>BR851</t>
  </si>
  <si>
    <t>T000380</t>
  </si>
  <si>
    <t>C1580</t>
  </si>
  <si>
    <t>AC79475474</t>
  </si>
  <si>
    <t>BR958</t>
  </si>
  <si>
    <t>T000381</t>
  </si>
  <si>
    <t>C8004</t>
  </si>
  <si>
    <t>AC19456807</t>
  </si>
  <si>
    <t>BR312</t>
  </si>
  <si>
    <t>T000382</t>
  </si>
  <si>
    <t>C9130</t>
  </si>
  <si>
    <t>AC39342048</t>
  </si>
  <si>
    <t>BR535</t>
  </si>
  <si>
    <t>T000383</t>
  </si>
  <si>
    <t>C4147</t>
  </si>
  <si>
    <t>AC14684346</t>
  </si>
  <si>
    <t>T000384</t>
  </si>
  <si>
    <t>C5249</t>
  </si>
  <si>
    <t>AC27824559</t>
  </si>
  <si>
    <t>BR607</t>
  </si>
  <si>
    <t>T000385</t>
  </si>
  <si>
    <t>C2679</t>
  </si>
  <si>
    <t>AC99605800</t>
  </si>
  <si>
    <t>BR935</t>
  </si>
  <si>
    <t>T000386</t>
  </si>
  <si>
    <t>C4506</t>
  </si>
  <si>
    <t>AC95641772</t>
  </si>
  <si>
    <t>T000387</t>
  </si>
  <si>
    <t>C8253</t>
  </si>
  <si>
    <t>AC52827096</t>
  </si>
  <si>
    <t>BR304</t>
  </si>
  <si>
    <t>T000388</t>
  </si>
  <si>
    <t>C3744</t>
  </si>
  <si>
    <t>AC61900771</t>
  </si>
  <si>
    <t>T000389</t>
  </si>
  <si>
    <t>C6188</t>
  </si>
  <si>
    <t>AC59352346</t>
  </si>
  <si>
    <t>BR172</t>
  </si>
  <si>
    <t>T000390</t>
  </si>
  <si>
    <t>C3141</t>
  </si>
  <si>
    <t>AC21667877</t>
  </si>
  <si>
    <t>BR615</t>
  </si>
  <si>
    <t>T000391</t>
  </si>
  <si>
    <t>C7617</t>
  </si>
  <si>
    <t>AC17393979</t>
  </si>
  <si>
    <t>BR175</t>
  </si>
  <si>
    <t>T000392</t>
  </si>
  <si>
    <t>C3479</t>
  </si>
  <si>
    <t>AC20115078</t>
  </si>
  <si>
    <t>BR940</t>
  </si>
  <si>
    <t>T000393</t>
  </si>
  <si>
    <t>C7484</t>
  </si>
  <si>
    <t>AC38506244</t>
  </si>
  <si>
    <t>BR176</t>
  </si>
  <si>
    <t>T000394</t>
  </si>
  <si>
    <t>C8421</t>
  </si>
  <si>
    <t>AC35214698</t>
  </si>
  <si>
    <t>BR915</t>
  </si>
  <si>
    <t>T000395</t>
  </si>
  <si>
    <t>C5452</t>
  </si>
  <si>
    <t>AC27486878</t>
  </si>
  <si>
    <t>BR867</t>
  </si>
  <si>
    <t>T000396</t>
  </si>
  <si>
    <t>C6881</t>
  </si>
  <si>
    <t>AC67195030</t>
  </si>
  <si>
    <t>BR509</t>
  </si>
  <si>
    <t>T000397</t>
  </si>
  <si>
    <t>C7665</t>
  </si>
  <si>
    <t>AC32098345</t>
  </si>
  <si>
    <t>BR713</t>
  </si>
  <si>
    <t>T000398</t>
  </si>
  <si>
    <t>C3849</t>
  </si>
  <si>
    <t>AC26620937</t>
  </si>
  <si>
    <t>T000399</t>
  </si>
  <si>
    <t>C8390</t>
  </si>
  <si>
    <t>AC41984287</t>
  </si>
  <si>
    <t>BR944</t>
  </si>
  <si>
    <t>T000400</t>
  </si>
  <si>
    <t>C7905</t>
  </si>
  <si>
    <t>AC52413492</t>
  </si>
  <si>
    <t>BR650</t>
  </si>
  <si>
    <t>T000401</t>
  </si>
  <si>
    <t>C3489</t>
  </si>
  <si>
    <t>AC20528294</t>
  </si>
  <si>
    <t>BR575</t>
  </si>
  <si>
    <t>T000402</t>
  </si>
  <si>
    <t>C5611</t>
  </si>
  <si>
    <t>AC29369886</t>
  </si>
  <si>
    <t>T000403</t>
  </si>
  <si>
    <t>C3839</t>
  </si>
  <si>
    <t>AC14810833</t>
  </si>
  <si>
    <t>T000404</t>
  </si>
  <si>
    <t>C9527</t>
  </si>
  <si>
    <t>AC33480675</t>
  </si>
  <si>
    <t>BR187</t>
  </si>
  <si>
    <t>T000405</t>
  </si>
  <si>
    <t>C6878</t>
  </si>
  <si>
    <t>AC94328141</t>
  </si>
  <si>
    <t>T000406</t>
  </si>
  <si>
    <t>C7303</t>
  </si>
  <si>
    <t>AC38500556</t>
  </si>
  <si>
    <t>BR980</t>
  </si>
  <si>
    <t>T000407</t>
  </si>
  <si>
    <t>C1851</t>
  </si>
  <si>
    <t>AC42073692</t>
  </si>
  <si>
    <t>T000408</t>
  </si>
  <si>
    <t>C2687</t>
  </si>
  <si>
    <t>AC47316107</t>
  </si>
  <si>
    <t>T000409</t>
  </si>
  <si>
    <t>C7833</t>
  </si>
  <si>
    <t>AC37427110</t>
  </si>
  <si>
    <t>T000410</t>
  </si>
  <si>
    <t>C3427</t>
  </si>
  <si>
    <t>AC34192961</t>
  </si>
  <si>
    <t>T000411</t>
  </si>
  <si>
    <t>C5000</t>
  </si>
  <si>
    <t>AC34859871</t>
  </si>
  <si>
    <t>BR344</t>
  </si>
  <si>
    <t>T000412</t>
  </si>
  <si>
    <t>C6052</t>
  </si>
  <si>
    <t>AC69844250</t>
  </si>
  <si>
    <t>T000413</t>
  </si>
  <si>
    <t>C3738</t>
  </si>
  <si>
    <t>AC63412976</t>
  </si>
  <si>
    <t>BR877</t>
  </si>
  <si>
    <t>T000414</t>
  </si>
  <si>
    <t>C6732</t>
  </si>
  <si>
    <t>AC39263888</t>
  </si>
  <si>
    <t>T000415</t>
  </si>
  <si>
    <t>C6387</t>
  </si>
  <si>
    <t>AC52106078</t>
  </si>
  <si>
    <t>T000416</t>
  </si>
  <si>
    <t>C9002</t>
  </si>
  <si>
    <t>AC17281505</t>
  </si>
  <si>
    <t>T000417</t>
  </si>
  <si>
    <t>C6536</t>
  </si>
  <si>
    <t>AC48679227</t>
  </si>
  <si>
    <t>T000418</t>
  </si>
  <si>
    <t>C4913</t>
  </si>
  <si>
    <t>AC48965695</t>
  </si>
  <si>
    <t>BR836</t>
  </si>
  <si>
    <t>T000419</t>
  </si>
  <si>
    <t>C2066</t>
  </si>
  <si>
    <t>AC47518167</t>
  </si>
  <si>
    <t>BR241</t>
  </si>
  <si>
    <t>T000420</t>
  </si>
  <si>
    <t>C8723</t>
  </si>
  <si>
    <t>AC36540396</t>
  </si>
  <si>
    <t>T000421</t>
  </si>
  <si>
    <t>C5380</t>
  </si>
  <si>
    <t>AC24812143</t>
  </si>
  <si>
    <t>BR467</t>
  </si>
  <si>
    <t>T000422</t>
  </si>
  <si>
    <t>C5107</t>
  </si>
  <si>
    <t>AC66825157</t>
  </si>
  <si>
    <t>BR183</t>
  </si>
  <si>
    <t>T000423</t>
  </si>
  <si>
    <t>C6726</t>
  </si>
  <si>
    <t>AC18989138</t>
  </si>
  <si>
    <t>BR242</t>
  </si>
  <si>
    <t>T000424</t>
  </si>
  <si>
    <t>C4373</t>
  </si>
  <si>
    <t>AC57364509</t>
  </si>
  <si>
    <t>BR451</t>
  </si>
  <si>
    <t>T000425</t>
  </si>
  <si>
    <t>C9945</t>
  </si>
  <si>
    <t>AC89146438</t>
  </si>
  <si>
    <t>T000426</t>
  </si>
  <si>
    <t>C3082</t>
  </si>
  <si>
    <t>AC53020873</t>
  </si>
  <si>
    <t>BR251</t>
  </si>
  <si>
    <t>T000427</t>
  </si>
  <si>
    <t>C9967</t>
  </si>
  <si>
    <t>AC83663899</t>
  </si>
  <si>
    <t>BR257</t>
  </si>
  <si>
    <t>T000428</t>
  </si>
  <si>
    <t>C7748</t>
  </si>
  <si>
    <t>AC42735803</t>
  </si>
  <si>
    <t>T000429</t>
  </si>
  <si>
    <t>C1417</t>
  </si>
  <si>
    <t>AC25886372</t>
  </si>
  <si>
    <t>BR752</t>
  </si>
  <si>
    <t>T000430</t>
  </si>
  <si>
    <t>C9306</t>
  </si>
  <si>
    <t>AC47622748</t>
  </si>
  <si>
    <t>BR862</t>
  </si>
  <si>
    <t>T000431</t>
  </si>
  <si>
    <t>C9808</t>
  </si>
  <si>
    <t>AC42456981</t>
  </si>
  <si>
    <t>BR402</t>
  </si>
  <si>
    <t>T000432</t>
  </si>
  <si>
    <t>C4974</t>
  </si>
  <si>
    <t>AC85176851</t>
  </si>
  <si>
    <t>BR723</t>
  </si>
  <si>
    <t>T000433</t>
  </si>
  <si>
    <t>C4267</t>
  </si>
  <si>
    <t>AC11656671</t>
  </si>
  <si>
    <t>BR755</t>
  </si>
  <si>
    <t>T000434</t>
  </si>
  <si>
    <t>C1825</t>
  </si>
  <si>
    <t>AC99567715</t>
  </si>
  <si>
    <t>T000435</t>
  </si>
  <si>
    <t>C8668</t>
  </si>
  <si>
    <t>AC32922481</t>
  </si>
  <si>
    <t>BR820</t>
  </si>
  <si>
    <t>T000436</t>
  </si>
  <si>
    <t>C6745</t>
  </si>
  <si>
    <t>AC52081603</t>
  </si>
  <si>
    <t>BR323</t>
  </si>
  <si>
    <t>T000437</t>
  </si>
  <si>
    <t>C1412</t>
  </si>
  <si>
    <t>AC94669146</t>
  </si>
  <si>
    <t>T000438</t>
  </si>
  <si>
    <t>C8543</t>
  </si>
  <si>
    <t>AC53497663</t>
  </si>
  <si>
    <t>BR363</t>
  </si>
  <si>
    <t>T000439</t>
  </si>
  <si>
    <t>C8587</t>
  </si>
  <si>
    <t>AC98785936</t>
  </si>
  <si>
    <t>BR855</t>
  </si>
  <si>
    <t>T000440</t>
  </si>
  <si>
    <t>C1728</t>
  </si>
  <si>
    <t>AC30833173</t>
  </si>
  <si>
    <t>T000441</t>
  </si>
  <si>
    <t>C8164</t>
  </si>
  <si>
    <t>AC94483977</t>
  </si>
  <si>
    <t>T000442</t>
  </si>
  <si>
    <t>C9867</t>
  </si>
  <si>
    <t>AC30718453</t>
  </si>
  <si>
    <t>BR367</t>
  </si>
  <si>
    <t>T000443</t>
  </si>
  <si>
    <t>C6988</t>
  </si>
  <si>
    <t>AC19161408</t>
  </si>
  <si>
    <t>BR695</t>
  </si>
  <si>
    <t>T000444</t>
  </si>
  <si>
    <t>C3504</t>
  </si>
  <si>
    <t>AC62374647</t>
  </si>
  <si>
    <t>BR115</t>
  </si>
  <si>
    <t>T000445</t>
  </si>
  <si>
    <t>C3967</t>
  </si>
  <si>
    <t>AC72242810</t>
  </si>
  <si>
    <t>BR433</t>
  </si>
  <si>
    <t>T000446</t>
  </si>
  <si>
    <t>C3786</t>
  </si>
  <si>
    <t>AC47214417</t>
  </si>
  <si>
    <t>T000447</t>
  </si>
  <si>
    <t>C2122</t>
  </si>
  <si>
    <t>AC30353727</t>
  </si>
  <si>
    <t>BR158</t>
  </si>
  <si>
    <t>T000448</t>
  </si>
  <si>
    <t>C5079</t>
  </si>
  <si>
    <t>AC95050030</t>
  </si>
  <si>
    <t>BR276</t>
  </si>
  <si>
    <t>T000449</t>
  </si>
  <si>
    <t>C2571</t>
  </si>
  <si>
    <t>AC10549148</t>
  </si>
  <si>
    <t>BR162</t>
  </si>
  <si>
    <t>T000450</t>
  </si>
  <si>
    <t>C6073</t>
  </si>
  <si>
    <t>AC46328139</t>
  </si>
  <si>
    <t>T000451</t>
  </si>
  <si>
    <t>C6104</t>
  </si>
  <si>
    <t>AC31845218</t>
  </si>
  <si>
    <t>BR406</t>
  </si>
  <si>
    <t>T000452</t>
  </si>
  <si>
    <t>C3143</t>
  </si>
  <si>
    <t>AC12773939</t>
  </si>
  <si>
    <t>BR345</t>
  </si>
  <si>
    <t>T000453</t>
  </si>
  <si>
    <t>C7806</t>
  </si>
  <si>
    <t>AC45490172</t>
  </si>
  <si>
    <t>BR388</t>
  </si>
  <si>
    <t>T000454</t>
  </si>
  <si>
    <t>C8357</t>
  </si>
  <si>
    <t>AC46989387</t>
  </si>
  <si>
    <t>T000455</t>
  </si>
  <si>
    <t>C4440</t>
  </si>
  <si>
    <t>AC23426716</t>
  </si>
  <si>
    <t>BR431</t>
  </si>
  <si>
    <t>T000456</t>
  </si>
  <si>
    <t>C4766</t>
  </si>
  <si>
    <t>AC48710304</t>
  </si>
  <si>
    <t>T000457</t>
  </si>
  <si>
    <t>C6644</t>
  </si>
  <si>
    <t>AC57718021</t>
  </si>
  <si>
    <t>T000458</t>
  </si>
  <si>
    <t>C3914</t>
  </si>
  <si>
    <t>AC95440590</t>
  </si>
  <si>
    <t>BR354</t>
  </si>
  <si>
    <t>T000459</t>
  </si>
  <si>
    <t>C5968</t>
  </si>
  <si>
    <t>AC36996639</t>
  </si>
  <si>
    <t>BR703</t>
  </si>
  <si>
    <t>T000460</t>
  </si>
  <si>
    <t>C6917</t>
  </si>
  <si>
    <t>AC97649202</t>
  </si>
  <si>
    <t>BR609</t>
  </si>
  <si>
    <t>T000461</t>
  </si>
  <si>
    <t>C9787</t>
  </si>
  <si>
    <t>AC20774986</t>
  </si>
  <si>
    <t>BR890</t>
  </si>
  <si>
    <t>T000462</t>
  </si>
  <si>
    <t>AC14421590</t>
  </si>
  <si>
    <t>BR817</t>
  </si>
  <si>
    <t>T000463</t>
  </si>
  <si>
    <t>C2365</t>
  </si>
  <si>
    <t>AC46089369</t>
  </si>
  <si>
    <t>BR705</t>
  </si>
  <si>
    <t>T000464</t>
  </si>
  <si>
    <t>C5492</t>
  </si>
  <si>
    <t>AC21546081</t>
  </si>
  <si>
    <t>T000465</t>
  </si>
  <si>
    <t>AC39221379</t>
  </si>
  <si>
    <t>BR912</t>
  </si>
  <si>
    <t>T000466</t>
  </si>
  <si>
    <t>C8186</t>
  </si>
  <si>
    <t>AC95604304</t>
  </si>
  <si>
    <t>BR929</t>
  </si>
  <si>
    <t>T000467</t>
  </si>
  <si>
    <t>C1395</t>
  </si>
  <si>
    <t>AC46265058</t>
  </si>
  <si>
    <t>BR562</t>
  </si>
  <si>
    <t>T000468</t>
  </si>
  <si>
    <t>AC69644300</t>
  </si>
  <si>
    <t>BR298</t>
  </si>
  <si>
    <t>T000469</t>
  </si>
  <si>
    <t>C9082</t>
  </si>
  <si>
    <t>AC54924392</t>
  </si>
  <si>
    <t>BR370</t>
  </si>
  <si>
    <t>T000470</t>
  </si>
  <si>
    <t>C5171</t>
  </si>
  <si>
    <t>AC41670310</t>
  </si>
  <si>
    <t>BR845</t>
  </si>
  <si>
    <t>T000471</t>
  </si>
  <si>
    <t>C5360</t>
  </si>
  <si>
    <t>AC68237814</t>
  </si>
  <si>
    <t>T000472</t>
  </si>
  <si>
    <t>C3502</t>
  </si>
  <si>
    <t>AC67641756</t>
  </si>
  <si>
    <t>BR163</t>
  </si>
  <si>
    <t>T000473</t>
  </si>
  <si>
    <t>C1717</t>
  </si>
  <si>
    <t>AC36552476</t>
  </si>
  <si>
    <t>T000474</t>
  </si>
  <si>
    <t>C3782</t>
  </si>
  <si>
    <t>AC83548874</t>
  </si>
  <si>
    <t>BR348</t>
  </si>
  <si>
    <t>T000475</t>
  </si>
  <si>
    <t>C5946</t>
  </si>
  <si>
    <t>AC18674163</t>
  </si>
  <si>
    <t>T000476</t>
  </si>
  <si>
    <t>AC95388417</t>
  </si>
  <si>
    <t>BR686</t>
  </si>
  <si>
    <t>T000477</t>
  </si>
  <si>
    <t>C9335</t>
  </si>
  <si>
    <t>AC58548947</t>
  </si>
  <si>
    <t>BR256</t>
  </si>
  <si>
    <t>T000478</t>
  </si>
  <si>
    <t>C5980</t>
  </si>
  <si>
    <t>AC37209162</t>
  </si>
  <si>
    <t>T000479</t>
  </si>
  <si>
    <t>C8266</t>
  </si>
  <si>
    <t>AC67396048</t>
  </si>
  <si>
    <t>T000480</t>
  </si>
  <si>
    <t>C5491</t>
  </si>
  <si>
    <t>AC10224695</t>
  </si>
  <si>
    <t>BR663</t>
  </si>
  <si>
    <t>T000481</t>
  </si>
  <si>
    <t>C8192</t>
  </si>
  <si>
    <t>AC63773276</t>
  </si>
  <si>
    <t>T000482</t>
  </si>
  <si>
    <t>C6588</t>
  </si>
  <si>
    <t>AC36267668</t>
  </si>
  <si>
    <t>BR412</t>
  </si>
  <si>
    <t>T000483</t>
  </si>
  <si>
    <t>C8651</t>
  </si>
  <si>
    <t>AC24063918</t>
  </si>
  <si>
    <t>BR950</t>
  </si>
  <si>
    <t>T000484</t>
  </si>
  <si>
    <t>C4636</t>
  </si>
  <si>
    <t>AC67884623</t>
  </si>
  <si>
    <t>BR165</t>
  </si>
  <si>
    <t>T000485</t>
  </si>
  <si>
    <t>C2167</t>
  </si>
  <si>
    <t>AC68454884</t>
  </si>
  <si>
    <t>BR761</t>
  </si>
  <si>
    <t>T000486</t>
  </si>
  <si>
    <t>C2062</t>
  </si>
  <si>
    <t>AC68093498</t>
  </si>
  <si>
    <t>T000487</t>
  </si>
  <si>
    <t>C3156</t>
  </si>
  <si>
    <t>AC53353746</t>
  </si>
  <si>
    <t>BR132</t>
  </si>
  <si>
    <t>T000488</t>
  </si>
  <si>
    <t>C8860</t>
  </si>
  <si>
    <t>AC30610500</t>
  </si>
  <si>
    <t>BR939</t>
  </si>
  <si>
    <t>T000489</t>
  </si>
  <si>
    <t>C6161</t>
  </si>
  <si>
    <t>AC75402242</t>
  </si>
  <si>
    <t>T000490</t>
  </si>
  <si>
    <t>C6305</t>
  </si>
  <si>
    <t>AC23245696</t>
  </si>
  <si>
    <t>T000491</t>
  </si>
  <si>
    <t>C7541</t>
  </si>
  <si>
    <t>AC45402297</t>
  </si>
  <si>
    <t>T000492</t>
  </si>
  <si>
    <t>C5729</t>
  </si>
  <si>
    <t>AC92030459</t>
  </si>
  <si>
    <t>T000493</t>
  </si>
  <si>
    <t>C8330</t>
  </si>
  <si>
    <t>AC34363941</t>
  </si>
  <si>
    <t>T000494</t>
  </si>
  <si>
    <t>C6334</t>
  </si>
  <si>
    <t>AC58123406</t>
  </si>
  <si>
    <t>T000495</t>
  </si>
  <si>
    <t>C9924</t>
  </si>
  <si>
    <t>AC65229602</t>
  </si>
  <si>
    <t>T000496</t>
  </si>
  <si>
    <t>C5330</t>
  </si>
  <si>
    <t>AC11074961</t>
  </si>
  <si>
    <t>BR154</t>
  </si>
  <si>
    <t>T000497</t>
  </si>
  <si>
    <t>C9010</t>
  </si>
  <si>
    <t>AC98511758</t>
  </si>
  <si>
    <t>BR160</t>
  </si>
  <si>
    <t>T000498</t>
  </si>
  <si>
    <t>C7801</t>
  </si>
  <si>
    <t>AC21950571</t>
  </si>
  <si>
    <t>BR956</t>
  </si>
  <si>
    <t>T000499</t>
  </si>
  <si>
    <t>C5846</t>
  </si>
  <si>
    <t>AC29155151</t>
  </si>
  <si>
    <t>T000500</t>
  </si>
  <si>
    <t>C7731</t>
  </si>
  <si>
    <t>AC61465754</t>
  </si>
  <si>
    <t>BR371</t>
  </si>
  <si>
    <t>T000501</t>
  </si>
  <si>
    <t>C8241</t>
  </si>
  <si>
    <t>AC22866619</t>
  </si>
  <si>
    <t>T000502</t>
  </si>
  <si>
    <t>C1953</t>
  </si>
  <si>
    <t>AC79583832</t>
  </si>
  <si>
    <t>T000503</t>
  </si>
  <si>
    <t>C3539</t>
  </si>
  <si>
    <t>AC99858638</t>
  </si>
  <si>
    <t>BR727</t>
  </si>
  <si>
    <t>T000504</t>
  </si>
  <si>
    <t>C8056</t>
  </si>
  <si>
    <t>AC79551130</t>
  </si>
  <si>
    <t>T000505</t>
  </si>
  <si>
    <t>C2542</t>
  </si>
  <si>
    <t>AC14437677</t>
  </si>
  <si>
    <t>T000506</t>
  </si>
  <si>
    <t>C6293</t>
  </si>
  <si>
    <t>AC57347699</t>
  </si>
  <si>
    <t>T000507</t>
  </si>
  <si>
    <t>C2191</t>
  </si>
  <si>
    <t>AC86716230</t>
  </si>
  <si>
    <t>T000508</t>
  </si>
  <si>
    <t>C7313</t>
  </si>
  <si>
    <t>AC15241218</t>
  </si>
  <si>
    <t>BR230</t>
  </si>
  <si>
    <t>T000509</t>
  </si>
  <si>
    <t>AC76777436</t>
  </si>
  <si>
    <t>BR201</t>
  </si>
  <si>
    <t>T000510</t>
  </si>
  <si>
    <t>C3681</t>
  </si>
  <si>
    <t>AC36821567</t>
  </si>
  <si>
    <t>T000511</t>
  </si>
  <si>
    <t>C2540</t>
  </si>
  <si>
    <t>AC65482283</t>
  </si>
  <si>
    <t>BR881</t>
  </si>
  <si>
    <t>T000512</t>
  </si>
  <si>
    <t>C7172</t>
  </si>
  <si>
    <t>AC15481140</t>
  </si>
  <si>
    <t>BR391</t>
  </si>
  <si>
    <t>T000513</t>
  </si>
  <si>
    <t>C6541</t>
  </si>
  <si>
    <t>AC33991831</t>
  </si>
  <si>
    <t>BR821</t>
  </si>
  <si>
    <t>T000514</t>
  </si>
  <si>
    <t>AC72697275</t>
  </si>
  <si>
    <t>T000515</t>
  </si>
  <si>
    <t>C9691</t>
  </si>
  <si>
    <t>AC75658413</t>
  </si>
  <si>
    <t>BR460</t>
  </si>
  <si>
    <t>T000516</t>
  </si>
  <si>
    <t>C9702</t>
  </si>
  <si>
    <t>AC64856856</t>
  </si>
  <si>
    <t>BR437</t>
  </si>
  <si>
    <t>T000517</t>
  </si>
  <si>
    <t>C8494</t>
  </si>
  <si>
    <t>AC15290717</t>
  </si>
  <si>
    <t>BR678</t>
  </si>
  <si>
    <t>T000518</t>
  </si>
  <si>
    <t>C5312</t>
  </si>
  <si>
    <t>AC29659206</t>
  </si>
  <si>
    <t>BR109</t>
  </si>
  <si>
    <t>T000519</t>
  </si>
  <si>
    <t>C2324</t>
  </si>
  <si>
    <t>AC10797968</t>
  </si>
  <si>
    <t>BR148</t>
  </si>
  <si>
    <t>T000520</t>
  </si>
  <si>
    <t>C4141</t>
  </si>
  <si>
    <t>AC68224509</t>
  </si>
  <si>
    <t>T000521</t>
  </si>
  <si>
    <t>C8419</t>
  </si>
  <si>
    <t>AC65940773</t>
  </si>
  <si>
    <t>T000522</t>
  </si>
  <si>
    <t>C4486</t>
  </si>
  <si>
    <t>AC39163439</t>
  </si>
  <si>
    <t>BR420</t>
  </si>
  <si>
    <t>T000523</t>
  </si>
  <si>
    <t>C2810</t>
  </si>
  <si>
    <t>AC29651515</t>
  </si>
  <si>
    <t>BR830</t>
  </si>
  <si>
    <t>T000524</t>
  </si>
  <si>
    <t>C7588</t>
  </si>
  <si>
    <t>AC17339838</t>
  </si>
  <si>
    <t>BR668</t>
  </si>
  <si>
    <t>T000525</t>
  </si>
  <si>
    <t>C3923</t>
  </si>
  <si>
    <t>AC93629045</t>
  </si>
  <si>
    <t>BR894</t>
  </si>
  <si>
    <t>T000526</t>
  </si>
  <si>
    <t>C6301</t>
  </si>
  <si>
    <t>AC67661940</t>
  </si>
  <si>
    <t>BR724</t>
  </si>
  <si>
    <t>T000527</t>
  </si>
  <si>
    <t>C5186</t>
  </si>
  <si>
    <t>AC91576052</t>
  </si>
  <si>
    <t>T000528</t>
  </si>
  <si>
    <t>C9905</t>
  </si>
  <si>
    <t>AC80047063</t>
  </si>
  <si>
    <t>BR682</t>
  </si>
  <si>
    <t>T000529</t>
  </si>
  <si>
    <t>AC77007551</t>
  </si>
  <si>
    <t>BR182</t>
  </si>
  <si>
    <t>T000530</t>
  </si>
  <si>
    <t>C5268</t>
  </si>
  <si>
    <t>AC86107468</t>
  </si>
  <si>
    <t>BR156</t>
  </si>
  <si>
    <t>T000531</t>
  </si>
  <si>
    <t>C5748</t>
  </si>
  <si>
    <t>AC59909831</t>
  </si>
  <si>
    <t>BR475</t>
  </si>
  <si>
    <t>T000532</t>
  </si>
  <si>
    <t>C5849</t>
  </si>
  <si>
    <t>AC52721553</t>
  </si>
  <si>
    <t>T000533</t>
  </si>
  <si>
    <t>C4709</t>
  </si>
  <si>
    <t>AC85134271</t>
  </si>
  <si>
    <t>T000534</t>
  </si>
  <si>
    <t>C7619</t>
  </si>
  <si>
    <t>AC98240465</t>
  </si>
  <si>
    <t>BR582</t>
  </si>
  <si>
    <t>T000535</t>
  </si>
  <si>
    <t>C9647</t>
  </si>
  <si>
    <t>AC58055661</t>
  </si>
  <si>
    <t>BR210</t>
  </si>
  <si>
    <t>T000536</t>
  </si>
  <si>
    <t>C4072</t>
  </si>
  <si>
    <t>AC35554414</t>
  </si>
  <si>
    <t>BR968</t>
  </si>
  <si>
    <t>T000537</t>
  </si>
  <si>
    <t>C7530</t>
  </si>
  <si>
    <t>AC36931806</t>
  </si>
  <si>
    <t>T000538</t>
  </si>
  <si>
    <t>C1504</t>
  </si>
  <si>
    <t>AC23476005</t>
  </si>
  <si>
    <t>T000539</t>
  </si>
  <si>
    <t>C2214</t>
  </si>
  <si>
    <t>AC54721695</t>
  </si>
  <si>
    <t>T000540</t>
  </si>
  <si>
    <t>C2531</t>
  </si>
  <si>
    <t>AC13151882</t>
  </si>
  <si>
    <t>T000541</t>
  </si>
  <si>
    <t>C8576</t>
  </si>
  <si>
    <t>AC42134444</t>
  </si>
  <si>
    <t>BR742</t>
  </si>
  <si>
    <t>T000542</t>
  </si>
  <si>
    <t>C1823</t>
  </si>
  <si>
    <t>AC40319320</t>
  </si>
  <si>
    <t>BR428</t>
  </si>
  <si>
    <t>T000543</t>
  </si>
  <si>
    <t>C1928</t>
  </si>
  <si>
    <t>AC80318880</t>
  </si>
  <si>
    <t>BR221</t>
  </si>
  <si>
    <t>T000544</t>
  </si>
  <si>
    <t>C6029</t>
  </si>
  <si>
    <t>AC75062907</t>
  </si>
  <si>
    <t>BR140</t>
  </si>
  <si>
    <t>T000545</t>
  </si>
  <si>
    <t>C1133</t>
  </si>
  <si>
    <t>AC16737320</t>
  </si>
  <si>
    <t>T000546</t>
  </si>
  <si>
    <t>C3105</t>
  </si>
  <si>
    <t>AC45943815</t>
  </si>
  <si>
    <t>BR741</t>
  </si>
  <si>
    <t>T000547</t>
  </si>
  <si>
    <t>AC33773962</t>
  </si>
  <si>
    <t>T000548</t>
  </si>
  <si>
    <t>C7316</t>
  </si>
  <si>
    <t>AC60495701</t>
  </si>
  <si>
    <t>BR378</t>
  </si>
  <si>
    <t>T000549</t>
  </si>
  <si>
    <t>C2852</t>
  </si>
  <si>
    <t>AC58018519</t>
  </si>
  <si>
    <t>T000550</t>
  </si>
  <si>
    <t>C5910</t>
  </si>
  <si>
    <t>AC99859624</t>
  </si>
  <si>
    <t>BR568</t>
  </si>
  <si>
    <t>T000551</t>
  </si>
  <si>
    <t>C5175</t>
  </si>
  <si>
    <t>AC48836811</t>
  </si>
  <si>
    <t>BR499</t>
  </si>
  <si>
    <t>T000552</t>
  </si>
  <si>
    <t>C6348</t>
  </si>
  <si>
    <t>AC86934008</t>
  </si>
  <si>
    <t>T000553</t>
  </si>
  <si>
    <t>C7190</t>
  </si>
  <si>
    <t>AC46097069</t>
  </si>
  <si>
    <t>BR112</t>
  </si>
  <si>
    <t>T000554</t>
  </si>
  <si>
    <t>C2256</t>
  </si>
  <si>
    <t>AC85142815</t>
  </si>
  <si>
    <t>T000555</t>
  </si>
  <si>
    <t>C4376</t>
  </si>
  <si>
    <t>AC88888398</t>
  </si>
  <si>
    <t>BR931</t>
  </si>
  <si>
    <t>T000556</t>
  </si>
  <si>
    <t>C6645</t>
  </si>
  <si>
    <t>AC68438965</t>
  </si>
  <si>
    <t>BR151</t>
  </si>
  <si>
    <t>T000557</t>
  </si>
  <si>
    <t>AC74274067</t>
  </si>
  <si>
    <t>BR308</t>
  </si>
  <si>
    <t>T000558</t>
  </si>
  <si>
    <t>C4584</t>
  </si>
  <si>
    <t>AC19734816</t>
  </si>
  <si>
    <t>T000559</t>
  </si>
  <si>
    <t>C9053</t>
  </si>
  <si>
    <t>AC51965471</t>
  </si>
  <si>
    <t>BR711</t>
  </si>
  <si>
    <t>T000560</t>
  </si>
  <si>
    <t>C4330</t>
  </si>
  <si>
    <t>AC26052465</t>
  </si>
  <si>
    <t>T000561</t>
  </si>
  <si>
    <t>C3703</t>
  </si>
  <si>
    <t>AC69963387</t>
  </si>
  <si>
    <t>T000562</t>
  </si>
  <si>
    <t>C9662</t>
  </si>
  <si>
    <t>AC52590048</t>
  </si>
  <si>
    <t>T000563</t>
  </si>
  <si>
    <t>AC86070913</t>
  </si>
  <si>
    <t>BR150</t>
  </si>
  <si>
    <t>T000564</t>
  </si>
  <si>
    <t>C8114</t>
  </si>
  <si>
    <t>AC22851424</t>
  </si>
  <si>
    <t>T000565</t>
  </si>
  <si>
    <t>C2353</t>
  </si>
  <si>
    <t>AC42356072</t>
  </si>
  <si>
    <t>T000566</t>
  </si>
  <si>
    <t>C6063</t>
  </si>
  <si>
    <t>AC39536204</t>
  </si>
  <si>
    <t>T000567</t>
  </si>
  <si>
    <t>C9549</t>
  </si>
  <si>
    <t>AC95936029</t>
  </si>
  <si>
    <t>BR922</t>
  </si>
  <si>
    <t>T000568</t>
  </si>
  <si>
    <t>C8575</t>
  </si>
  <si>
    <t>AC18388512</t>
  </si>
  <si>
    <t>T000569</t>
  </si>
  <si>
    <t>C1667</t>
  </si>
  <si>
    <t>AC61599948</t>
  </si>
  <si>
    <t>BR818</t>
  </si>
  <si>
    <t>T000570</t>
  </si>
  <si>
    <t>C5468</t>
  </si>
  <si>
    <t>AC79056627</t>
  </si>
  <si>
    <t>BR399</t>
  </si>
  <si>
    <t>T000571</t>
  </si>
  <si>
    <t>C7819</t>
  </si>
  <si>
    <t>AC70350105</t>
  </si>
  <si>
    <t>BR721</t>
  </si>
  <si>
    <t>T000572</t>
  </si>
  <si>
    <t>C4719</t>
  </si>
  <si>
    <t>AC51208934</t>
  </si>
  <si>
    <t>BR295</t>
  </si>
  <si>
    <t>T000573</t>
  </si>
  <si>
    <t>C3745</t>
  </si>
  <si>
    <t>AC43138881</t>
  </si>
  <si>
    <t>BR516</t>
  </si>
  <si>
    <t>T000574</t>
  </si>
  <si>
    <t>C8483</t>
  </si>
  <si>
    <t>AC47436581</t>
  </si>
  <si>
    <t>BR763</t>
  </si>
  <si>
    <t>T000575</t>
  </si>
  <si>
    <t>C1539</t>
  </si>
  <si>
    <t>AC31650278</t>
  </si>
  <si>
    <t>T000576</t>
  </si>
  <si>
    <t>C5964</t>
  </si>
  <si>
    <t>AC67376857</t>
  </si>
  <si>
    <t>BR854</t>
  </si>
  <si>
    <t>T000577</t>
  </si>
  <si>
    <t>C5835</t>
  </si>
  <si>
    <t>AC18439469</t>
  </si>
  <si>
    <t>BR739</t>
  </si>
  <si>
    <t>T000578</t>
  </si>
  <si>
    <t>C4775</t>
  </si>
  <si>
    <t>AC34455289</t>
  </si>
  <si>
    <t>T000579</t>
  </si>
  <si>
    <t>C7042</t>
  </si>
  <si>
    <t>AC93050481</t>
  </si>
  <si>
    <t>T000580</t>
  </si>
  <si>
    <t>C8102</t>
  </si>
  <si>
    <t>AC48400142</t>
  </si>
  <si>
    <t>T000581</t>
  </si>
  <si>
    <t>C8312</t>
  </si>
  <si>
    <t>AC64332385</t>
  </si>
  <si>
    <t>BR247</t>
  </si>
  <si>
    <t>T000582</t>
  </si>
  <si>
    <t>C6320</t>
  </si>
  <si>
    <t>AC52664041</t>
  </si>
  <si>
    <t>BR464</t>
  </si>
  <si>
    <t>T000583</t>
  </si>
  <si>
    <t>C7132</t>
  </si>
  <si>
    <t>AC58243574</t>
  </si>
  <si>
    <t>BR463</t>
  </si>
  <si>
    <t>T000584</t>
  </si>
  <si>
    <t>C8891</t>
  </si>
  <si>
    <t>AC70711339</t>
  </si>
  <si>
    <t>BR751</t>
  </si>
  <si>
    <t>T000585</t>
  </si>
  <si>
    <t>C3779</t>
  </si>
  <si>
    <t>AC56462256</t>
  </si>
  <si>
    <t>T000586</t>
  </si>
  <si>
    <t>C1924</t>
  </si>
  <si>
    <t>AC70344167</t>
  </si>
  <si>
    <t>T000587</t>
  </si>
  <si>
    <t>C2581</t>
  </si>
  <si>
    <t>AC59092554</t>
  </si>
  <si>
    <t>T000588</t>
  </si>
  <si>
    <t>C8714</t>
  </si>
  <si>
    <t>AC91500098</t>
  </si>
  <si>
    <t>BR591</t>
  </si>
  <si>
    <t>T000589</t>
  </si>
  <si>
    <t>C4324</t>
  </si>
  <si>
    <t>AC11443717</t>
  </si>
  <si>
    <t>BR328</t>
  </si>
  <si>
    <t>T000590</t>
  </si>
  <si>
    <t>C6713</t>
  </si>
  <si>
    <t>AC14409352</t>
  </si>
  <si>
    <t>BR674</t>
  </si>
  <si>
    <t>T000591</t>
  </si>
  <si>
    <t>C8026</t>
  </si>
  <si>
    <t>AC98997222</t>
  </si>
  <si>
    <t>T000592</t>
  </si>
  <si>
    <t>C1255</t>
  </si>
  <si>
    <t>AC92438366</t>
  </si>
  <si>
    <t>BR636</t>
  </si>
  <si>
    <t>T000593</t>
  </si>
  <si>
    <t>C5804</t>
  </si>
  <si>
    <t>AC53148703</t>
  </si>
  <si>
    <t>T000594</t>
  </si>
  <si>
    <t>C2838</t>
  </si>
  <si>
    <t>AC85530792</t>
  </si>
  <si>
    <t>BR504</t>
  </si>
  <si>
    <t>T000595</t>
  </si>
  <si>
    <t>C1009</t>
  </si>
  <si>
    <t>AC52307399</t>
  </si>
  <si>
    <t>T000596</t>
  </si>
  <si>
    <t>C3871</t>
  </si>
  <si>
    <t>AC11308507</t>
  </si>
  <si>
    <t>BR110</t>
  </si>
  <si>
    <t>T000597</t>
  </si>
  <si>
    <t>C9989</t>
  </si>
  <si>
    <t>AC97952701</t>
  </si>
  <si>
    <t>T000598</t>
  </si>
  <si>
    <t>C8409</t>
  </si>
  <si>
    <t>AC19331795</t>
  </si>
  <si>
    <t>T000599</t>
  </si>
  <si>
    <t>C8418</t>
  </si>
  <si>
    <t>AC89491182</t>
  </si>
  <si>
    <t>BR225</t>
  </si>
  <si>
    <t>T000600</t>
  </si>
  <si>
    <t>C6124</t>
  </si>
  <si>
    <t>AC19986298</t>
  </si>
  <si>
    <t>T000601</t>
  </si>
  <si>
    <t>C2015</t>
  </si>
  <si>
    <t>AC77209598</t>
  </si>
  <si>
    <t>T000602</t>
  </si>
  <si>
    <t>C3193</t>
  </si>
  <si>
    <t>AC85655174</t>
  </si>
  <si>
    <t>BR610</t>
  </si>
  <si>
    <t>T000603</t>
  </si>
  <si>
    <t>C9415</t>
  </si>
  <si>
    <t>AC29628490</t>
  </si>
  <si>
    <t>BR188</t>
  </si>
  <si>
    <t>T000604</t>
  </si>
  <si>
    <t>C8449</t>
  </si>
  <si>
    <t>AC95111891</t>
  </si>
  <si>
    <t>BR454</t>
  </si>
  <si>
    <t>T000605</t>
  </si>
  <si>
    <t>C5158</t>
  </si>
  <si>
    <t>AC80189955</t>
  </si>
  <si>
    <t>T000606</t>
  </si>
  <si>
    <t>C4925</t>
  </si>
  <si>
    <t>AC26002437</t>
  </si>
  <si>
    <t>T000607</t>
  </si>
  <si>
    <t>C7970</t>
  </si>
  <si>
    <t>AC30606265</t>
  </si>
  <si>
    <t>BR788</t>
  </si>
  <si>
    <t>T000608</t>
  </si>
  <si>
    <t>AC21091989</t>
  </si>
  <si>
    <t>T000609</t>
  </si>
  <si>
    <t>C5784</t>
  </si>
  <si>
    <t>AC73644057</t>
  </si>
  <si>
    <t>BR356</t>
  </si>
  <si>
    <t>T000610</t>
  </si>
  <si>
    <t>AC62200318</t>
  </si>
  <si>
    <t>T000611</t>
  </si>
  <si>
    <t>C2633</t>
  </si>
  <si>
    <t>AC89790594</t>
  </si>
  <si>
    <t>T000612</t>
  </si>
  <si>
    <t>AC50819838</t>
  </si>
  <si>
    <t>BR542</t>
  </si>
  <si>
    <t>T000613</t>
  </si>
  <si>
    <t>AC43283771</t>
  </si>
  <si>
    <t>T000614</t>
  </si>
  <si>
    <t>C1384</t>
  </si>
  <si>
    <t>AC65145321</t>
  </si>
  <si>
    <t>T000615</t>
  </si>
  <si>
    <t>C1404</t>
  </si>
  <si>
    <t>AC14755469</t>
  </si>
  <si>
    <t>BR488</t>
  </si>
  <si>
    <t>T000616</t>
  </si>
  <si>
    <t>C9175</t>
  </si>
  <si>
    <t>AC92162634</t>
  </si>
  <si>
    <t>T000617</t>
  </si>
  <si>
    <t>C3000</t>
  </si>
  <si>
    <t>AC36098641</t>
  </si>
  <si>
    <t>T000618</t>
  </si>
  <si>
    <t>C6989</t>
  </si>
  <si>
    <t>AC24150540</t>
  </si>
  <si>
    <t>T000619</t>
  </si>
  <si>
    <t>C2460</t>
  </si>
  <si>
    <t>AC55221400</t>
  </si>
  <si>
    <t>T000620</t>
  </si>
  <si>
    <t>C8190</t>
  </si>
  <si>
    <t>AC11992825</t>
  </si>
  <si>
    <t>T000621</t>
  </si>
  <si>
    <t>C8140</t>
  </si>
  <si>
    <t>AC80941842</t>
  </si>
  <si>
    <t>BR729</t>
  </si>
  <si>
    <t>T000622</t>
  </si>
  <si>
    <t>AC40559798</t>
  </si>
  <si>
    <t>T000623</t>
  </si>
  <si>
    <t>C5809</t>
  </si>
  <si>
    <t>AC16152941</t>
  </si>
  <si>
    <t>BR533</t>
  </si>
  <si>
    <t>T000624</t>
  </si>
  <si>
    <t>C5178</t>
  </si>
  <si>
    <t>AC46286070</t>
  </si>
  <si>
    <t>T000625</t>
  </si>
  <si>
    <t>C8245</t>
  </si>
  <si>
    <t>AC20556086</t>
  </si>
  <si>
    <t>T000626</t>
  </si>
  <si>
    <t>C7600</t>
  </si>
  <si>
    <t>AC63307679</t>
  </si>
  <si>
    <t>BR485</t>
  </si>
  <si>
    <t>T000627</t>
  </si>
  <si>
    <t>C6997</t>
  </si>
  <si>
    <t>AC33289643</t>
  </si>
  <si>
    <t>T000628</t>
  </si>
  <si>
    <t>C3048</t>
  </si>
  <si>
    <t>AC99597893</t>
  </si>
  <si>
    <t>T000629</t>
  </si>
  <si>
    <t>AC11940369</t>
  </si>
  <si>
    <t>BR445</t>
  </si>
  <si>
    <t>T000630</t>
  </si>
  <si>
    <t>C1716</t>
  </si>
  <si>
    <t>AC51681557</t>
  </si>
  <si>
    <t>BR797</t>
  </si>
  <si>
    <t>T000631</t>
  </si>
  <si>
    <t>C8939</t>
  </si>
  <si>
    <t>AC95103140</t>
  </si>
  <si>
    <t>T000632</t>
  </si>
  <si>
    <t>C6565</t>
  </si>
  <si>
    <t>AC58226615</t>
  </si>
  <si>
    <t>T000633</t>
  </si>
  <si>
    <t>C5544</t>
  </si>
  <si>
    <t>AC35955176</t>
  </si>
  <si>
    <t>BR306</t>
  </si>
  <si>
    <t>T000634</t>
  </si>
  <si>
    <t>C5976</t>
  </si>
  <si>
    <t>AC91718171</t>
  </si>
  <si>
    <t>BR957</t>
  </si>
  <si>
    <t>T000635</t>
  </si>
  <si>
    <t>C4419</t>
  </si>
  <si>
    <t>AC61721929</t>
  </si>
  <si>
    <t>BR271</t>
  </si>
  <si>
    <t>T000636</t>
  </si>
  <si>
    <t>C8239</t>
  </si>
  <si>
    <t>AC17778748</t>
  </si>
  <si>
    <t>T000637</t>
  </si>
  <si>
    <t>C1249</t>
  </si>
  <si>
    <t>AC51654364</t>
  </si>
  <si>
    <t>T000638</t>
  </si>
  <si>
    <t>C9865</t>
  </si>
  <si>
    <t>AC62182965</t>
  </si>
  <si>
    <t>BR320</t>
  </si>
  <si>
    <t>T000639</t>
  </si>
  <si>
    <t>C1770</t>
  </si>
  <si>
    <t>AC79055694</t>
  </si>
  <si>
    <t>T000640</t>
  </si>
  <si>
    <t>C5363</t>
  </si>
  <si>
    <t>AC42997728</t>
  </si>
  <si>
    <t>T000641</t>
  </si>
  <si>
    <t>C2077</t>
  </si>
  <si>
    <t>AC87066032</t>
  </si>
  <si>
    <t>BR282</t>
  </si>
  <si>
    <t>T000642</t>
  </si>
  <si>
    <t>C9427</t>
  </si>
  <si>
    <t>AC46159646</t>
  </si>
  <si>
    <t>BR498</t>
  </si>
  <si>
    <t>T000643</t>
  </si>
  <si>
    <t>C9580</t>
  </si>
  <si>
    <t>AC51478073</t>
  </si>
  <si>
    <t>T000644</t>
  </si>
  <si>
    <t>C8901</t>
  </si>
  <si>
    <t>AC20717207</t>
  </si>
  <si>
    <t>BR171</t>
  </si>
  <si>
    <t>T000645</t>
  </si>
  <si>
    <t>C5858</t>
  </si>
  <si>
    <t>AC92649491</t>
  </si>
  <si>
    <t>T000646</t>
  </si>
  <si>
    <t>C7544</t>
  </si>
  <si>
    <t>AC26169764</t>
  </si>
  <si>
    <t>BR997</t>
  </si>
  <si>
    <t>T000647</t>
  </si>
  <si>
    <t>C5719</t>
  </si>
  <si>
    <t>AC19384451</t>
  </si>
  <si>
    <t>BR382</t>
  </si>
  <si>
    <t>T000648</t>
  </si>
  <si>
    <t>C3814</t>
  </si>
  <si>
    <t>AC81297755</t>
  </si>
  <si>
    <t>BR173</t>
  </si>
  <si>
    <t>T000649</t>
  </si>
  <si>
    <t>C4374</t>
  </si>
  <si>
    <t>AC86123517</t>
  </si>
  <si>
    <t>T000650</t>
  </si>
  <si>
    <t>C2252</t>
  </si>
  <si>
    <t>AC91173011</t>
  </si>
  <si>
    <t>BR826</t>
  </si>
  <si>
    <t>T000651</t>
  </si>
  <si>
    <t>C7996</t>
  </si>
  <si>
    <t>AC30808635</t>
  </si>
  <si>
    <t>BR596</t>
  </si>
  <si>
    <t>T000652</t>
  </si>
  <si>
    <t>C5673</t>
  </si>
  <si>
    <t>AC48049943</t>
  </si>
  <si>
    <t>T000653</t>
  </si>
  <si>
    <t>C5530</t>
  </si>
  <si>
    <t>AC61756593</t>
  </si>
  <si>
    <t>T000654</t>
  </si>
  <si>
    <t>C7881</t>
  </si>
  <si>
    <t>AC70111794</t>
  </si>
  <si>
    <t>BR679</t>
  </si>
  <si>
    <t>T000655</t>
  </si>
  <si>
    <t>AC79472863</t>
  </si>
  <si>
    <t>BR546</t>
  </si>
  <si>
    <t>T000656</t>
  </si>
  <si>
    <t>C7241</t>
  </si>
  <si>
    <t>AC14790691</t>
  </si>
  <si>
    <t>BR472</t>
  </si>
  <si>
    <t>T000657</t>
  </si>
  <si>
    <t>C9017</t>
  </si>
  <si>
    <t>AC37950196</t>
  </si>
  <si>
    <t>BR461</t>
  </si>
  <si>
    <t>T000658</t>
  </si>
  <si>
    <t>C7941</t>
  </si>
  <si>
    <t>AC98111969</t>
  </si>
  <si>
    <t>BR192</t>
  </si>
  <si>
    <t>T000659</t>
  </si>
  <si>
    <t>C8002</t>
  </si>
  <si>
    <t>AC86961279</t>
  </si>
  <si>
    <t>T000660</t>
  </si>
  <si>
    <t>C2331</t>
  </si>
  <si>
    <t>AC63423843</t>
  </si>
  <si>
    <t>BR423</t>
  </si>
  <si>
    <t>T000661</t>
  </si>
  <si>
    <t>C5261</t>
  </si>
  <si>
    <t>AC27066318</t>
  </si>
  <si>
    <t>BR483</t>
  </si>
  <si>
    <t>T000662</t>
  </si>
  <si>
    <t>C8648</t>
  </si>
  <si>
    <t>AC60277283</t>
  </si>
  <si>
    <t>T000663</t>
  </si>
  <si>
    <t>C6115</t>
  </si>
  <si>
    <t>AC76447109</t>
  </si>
  <si>
    <t>BR835</t>
  </si>
  <si>
    <t>T000664</t>
  </si>
  <si>
    <t>C5637</t>
  </si>
  <si>
    <t>AC21186361</t>
  </si>
  <si>
    <t>T000665</t>
  </si>
  <si>
    <t>C5854</t>
  </si>
  <si>
    <t>AC36256629</t>
  </si>
  <si>
    <t>T000666</t>
  </si>
  <si>
    <t>C4177</t>
  </si>
  <si>
    <t>AC76146940</t>
  </si>
  <si>
    <t>T000667</t>
  </si>
  <si>
    <t>C8730</t>
  </si>
  <si>
    <t>AC47998210</t>
  </si>
  <si>
    <t>BR948</t>
  </si>
  <si>
    <t>T000668</t>
  </si>
  <si>
    <t>C3180</t>
  </si>
  <si>
    <t>AC38175911</t>
  </si>
  <si>
    <t>BR202</t>
  </si>
  <si>
    <t>T000669</t>
  </si>
  <si>
    <t>C5892</t>
  </si>
  <si>
    <t>AC71688718</t>
  </si>
  <si>
    <t>T000670</t>
  </si>
  <si>
    <t>C8043</t>
  </si>
  <si>
    <t>AC83195232</t>
  </si>
  <si>
    <t>T000671</t>
  </si>
  <si>
    <t>C1137</t>
  </si>
  <si>
    <t>AC38207970</t>
  </si>
  <si>
    <t>BR771</t>
  </si>
  <si>
    <t>T000672</t>
  </si>
  <si>
    <t>C7327</t>
  </si>
  <si>
    <t>AC21950831</t>
  </si>
  <si>
    <t>BR983</t>
  </si>
  <si>
    <t>T000673</t>
  </si>
  <si>
    <t>C4472</t>
  </si>
  <si>
    <t>AC44812381</t>
  </si>
  <si>
    <t>T000674</t>
  </si>
  <si>
    <t>C6449</t>
  </si>
  <si>
    <t>AC42386345</t>
  </si>
  <si>
    <t>BR880</t>
  </si>
  <si>
    <t>T000675</t>
  </si>
  <si>
    <t>C3832</t>
  </si>
  <si>
    <t>AC90716715</t>
  </si>
  <si>
    <t>BR293</t>
  </si>
  <si>
    <t>T000676</t>
  </si>
  <si>
    <t>C4579</t>
  </si>
  <si>
    <t>AC21360589</t>
  </si>
  <si>
    <t>T000677</t>
  </si>
  <si>
    <t>C6971</t>
  </si>
  <si>
    <t>AC64181889</t>
  </si>
  <si>
    <t>BR502</t>
  </si>
  <si>
    <t>T000678</t>
  </si>
  <si>
    <t>C5164</t>
  </si>
  <si>
    <t>AC39124900</t>
  </si>
  <si>
    <t>T000679</t>
  </si>
  <si>
    <t>C8941</t>
  </si>
  <si>
    <t>AC55677380</t>
  </si>
  <si>
    <t>BR848</t>
  </si>
  <si>
    <t>T000680</t>
  </si>
  <si>
    <t>C6569</t>
  </si>
  <si>
    <t>AC38487589</t>
  </si>
  <si>
    <t>BR699</t>
  </si>
  <si>
    <t>T000681</t>
  </si>
  <si>
    <t>C5300</t>
  </si>
  <si>
    <t>AC25648245</t>
  </si>
  <si>
    <t>T000682</t>
  </si>
  <si>
    <t>C7269</t>
  </si>
  <si>
    <t>AC43523310</t>
  </si>
  <si>
    <t>BR286</t>
  </si>
  <si>
    <t>T000683</t>
  </si>
  <si>
    <t>C4818</t>
  </si>
  <si>
    <t>AC73640055</t>
  </si>
  <si>
    <t>BR825</t>
  </si>
  <si>
    <t>T000684</t>
  </si>
  <si>
    <t>C2906</t>
  </si>
  <si>
    <t>AC82648934</t>
  </si>
  <si>
    <t>BR114</t>
  </si>
  <si>
    <t>T000685</t>
  </si>
  <si>
    <t>C7254</t>
  </si>
  <si>
    <t>AC76500568</t>
  </si>
  <si>
    <t>T000686</t>
  </si>
  <si>
    <t>C1760</t>
  </si>
  <si>
    <t>AC37364435</t>
  </si>
  <si>
    <t>T000687</t>
  </si>
  <si>
    <t>C8830</t>
  </si>
  <si>
    <t>AC16491878</t>
  </si>
  <si>
    <t>BR510</t>
  </si>
  <si>
    <t>T000688</t>
  </si>
  <si>
    <t>C8350</t>
  </si>
  <si>
    <t>AC41241029</t>
  </si>
  <si>
    <t>T000689</t>
  </si>
  <si>
    <t>C7238</t>
  </si>
  <si>
    <t>AC79069690</t>
  </si>
  <si>
    <t>T000690</t>
  </si>
  <si>
    <t>C7090</t>
  </si>
  <si>
    <t>AC12844664</t>
  </si>
  <si>
    <t>T000691</t>
  </si>
  <si>
    <t>C7031</t>
  </si>
  <si>
    <t>AC44932801</t>
  </si>
  <si>
    <t>T000692</t>
  </si>
  <si>
    <t>C8687</t>
  </si>
  <si>
    <t>AC71144226</t>
  </si>
  <si>
    <t>BR676</t>
  </si>
  <si>
    <t>T000693</t>
  </si>
  <si>
    <t>C9472</t>
  </si>
  <si>
    <t>AC12090212</t>
  </si>
  <si>
    <t>BR116</t>
  </si>
  <si>
    <t>T000694</t>
  </si>
  <si>
    <t>C2887</t>
  </si>
  <si>
    <t>AC48785284</t>
  </si>
  <si>
    <t>BR450</t>
  </si>
  <si>
    <t>T000695</t>
  </si>
  <si>
    <t>C4266</t>
  </si>
  <si>
    <t>AC64503422</t>
  </si>
  <si>
    <t>BR527</t>
  </si>
  <si>
    <t>T000696</t>
  </si>
  <si>
    <t>C1666</t>
  </si>
  <si>
    <t>AC31320139</t>
  </si>
  <si>
    <t>BR749</t>
  </si>
  <si>
    <t>T000697</t>
  </si>
  <si>
    <t>C5188</t>
  </si>
  <si>
    <t>AC35227191</t>
  </si>
  <si>
    <t>T000698</t>
  </si>
  <si>
    <t>C1671</t>
  </si>
  <si>
    <t>AC14600108</t>
  </si>
  <si>
    <t>T000699</t>
  </si>
  <si>
    <t>C7777</t>
  </si>
  <si>
    <t>AC88502806</t>
  </si>
  <si>
    <t>BR865</t>
  </si>
  <si>
    <t>T000700</t>
  </si>
  <si>
    <t>C8570</t>
  </si>
  <si>
    <t>AC79963054</t>
  </si>
  <si>
    <t>T000701</t>
  </si>
  <si>
    <t>C8956</t>
  </si>
  <si>
    <t>AC78393246</t>
  </si>
  <si>
    <t>BR530</t>
  </si>
  <si>
    <t>T000702</t>
  </si>
  <si>
    <t>AC84304906</t>
  </si>
  <si>
    <t>BR393</t>
  </si>
  <si>
    <t>T000703</t>
  </si>
  <si>
    <t>C6585</t>
  </si>
  <si>
    <t>AC47407753</t>
  </si>
  <si>
    <t>T000704</t>
  </si>
  <si>
    <t>AC57230658</t>
  </si>
  <si>
    <t>T000705</t>
  </si>
  <si>
    <t>C4900</t>
  </si>
  <si>
    <t>AC29432053</t>
  </si>
  <si>
    <t>T000706</t>
  </si>
  <si>
    <t>C7677</t>
  </si>
  <si>
    <t>AC68016013</t>
  </si>
  <si>
    <t>T000707</t>
  </si>
  <si>
    <t>C7981</t>
  </si>
  <si>
    <t>AC88981711</t>
  </si>
  <si>
    <t>BR303</t>
  </si>
  <si>
    <t>T000708</t>
  </si>
  <si>
    <t>C7376</t>
  </si>
  <si>
    <t>AC94928457</t>
  </si>
  <si>
    <t>T000709</t>
  </si>
  <si>
    <t>C1523</t>
  </si>
  <si>
    <t>AC58436828</t>
  </si>
  <si>
    <t>BR474</t>
  </si>
  <si>
    <t>T000710</t>
  </si>
  <si>
    <t>C3393</t>
  </si>
  <si>
    <t>AC66437579</t>
  </si>
  <si>
    <t>T000711</t>
  </si>
  <si>
    <t>C3593</t>
  </si>
  <si>
    <t>AC80366045</t>
  </si>
  <si>
    <t>T000712</t>
  </si>
  <si>
    <t>C8240</t>
  </si>
  <si>
    <t>AC99148776</t>
  </si>
  <si>
    <t>T000713</t>
  </si>
  <si>
    <t>C7937</t>
  </si>
  <si>
    <t>AC61255428</t>
  </si>
  <si>
    <t>BR434</t>
  </si>
  <si>
    <t>T000714</t>
  </si>
  <si>
    <t>AC57602635</t>
  </si>
  <si>
    <t>T000715</t>
  </si>
  <si>
    <t>C6240</t>
  </si>
  <si>
    <t>AC92795008</t>
  </si>
  <si>
    <t>BR234</t>
  </si>
  <si>
    <t>T000716</t>
  </si>
  <si>
    <t>C7493</t>
  </si>
  <si>
    <t>AC20856760</t>
  </si>
  <si>
    <t>BR157</t>
  </si>
  <si>
    <t>T000717</t>
  </si>
  <si>
    <t>C3878</t>
  </si>
  <si>
    <t>AC56350911</t>
  </si>
  <si>
    <t>T000718</t>
  </si>
  <si>
    <t>C5143</t>
  </si>
  <si>
    <t>AC76575221</t>
  </si>
  <si>
    <t>T000719</t>
  </si>
  <si>
    <t>C4644</t>
  </si>
  <si>
    <t>AC58830419</t>
  </si>
  <si>
    <t>T000720</t>
  </si>
  <si>
    <t>C5432</t>
  </si>
  <si>
    <t>AC28720027</t>
  </si>
  <si>
    <t>T000721</t>
  </si>
  <si>
    <t>C2276</t>
  </si>
  <si>
    <t>AC33284856</t>
  </si>
  <si>
    <t>T000722</t>
  </si>
  <si>
    <t>C6811</t>
  </si>
  <si>
    <t>AC60629738</t>
  </si>
  <si>
    <t>BR394</t>
  </si>
  <si>
    <t>T000723</t>
  </si>
  <si>
    <t>C1302</t>
  </si>
  <si>
    <t>AC85814820</t>
  </si>
  <si>
    <t>T000724</t>
  </si>
  <si>
    <t>C1638</t>
  </si>
  <si>
    <t>AC65757486</t>
  </si>
  <si>
    <t>T000725</t>
  </si>
  <si>
    <t>C1055</t>
  </si>
  <si>
    <t>AC42446436</t>
  </si>
  <si>
    <t>T000726</t>
  </si>
  <si>
    <t>C9717</t>
  </si>
  <si>
    <t>AC19714891</t>
  </si>
  <si>
    <t>BR730</t>
  </si>
  <si>
    <t>T000727</t>
  </si>
  <si>
    <t>C9150</t>
  </si>
  <si>
    <t>AC35258148</t>
  </si>
  <si>
    <t>BR166</t>
  </si>
  <si>
    <t>T000728</t>
  </si>
  <si>
    <t>C3125</t>
  </si>
  <si>
    <t>AC12320688</t>
  </si>
  <si>
    <t>T000729</t>
  </si>
  <si>
    <t>C1364</t>
  </si>
  <si>
    <t>AC11805808</t>
  </si>
  <si>
    <t>T000730</t>
  </si>
  <si>
    <t>C7809</t>
  </si>
  <si>
    <t>AC86818039</t>
  </si>
  <si>
    <t>T000731</t>
  </si>
  <si>
    <t>C5621</t>
  </si>
  <si>
    <t>AC48090551</t>
  </si>
  <si>
    <t>BR824</t>
  </si>
  <si>
    <t>T000732</t>
  </si>
  <si>
    <t>C6126</t>
  </si>
  <si>
    <t>AC97901550</t>
  </si>
  <si>
    <t>BR919</t>
  </si>
  <si>
    <t>T000733</t>
  </si>
  <si>
    <t>C6122</t>
  </si>
  <si>
    <t>AC88774891</t>
  </si>
  <si>
    <t>T000734</t>
  </si>
  <si>
    <t>C2646</t>
  </si>
  <si>
    <t>AC47176570</t>
  </si>
  <si>
    <t>BR155</t>
  </si>
  <si>
    <t>T000735</t>
  </si>
  <si>
    <t>C1918</t>
  </si>
  <si>
    <t>AC88037948</t>
  </si>
  <si>
    <t>T000736</t>
  </si>
  <si>
    <t>C3797</t>
  </si>
  <si>
    <t>AC22617619</t>
  </si>
  <si>
    <t>T000737</t>
  </si>
  <si>
    <t>C7506</t>
  </si>
  <si>
    <t>AC94823921</t>
  </si>
  <si>
    <t>BR850</t>
  </si>
  <si>
    <t>T000738</t>
  </si>
  <si>
    <t>C6870</t>
  </si>
  <si>
    <t>AC87064525</t>
  </si>
  <si>
    <t>T000739</t>
  </si>
  <si>
    <t>AC63175588</t>
  </si>
  <si>
    <t>T000740</t>
  </si>
  <si>
    <t>C9172</t>
  </si>
  <si>
    <t>AC97818521</t>
  </si>
  <si>
    <t>T000741</t>
  </si>
  <si>
    <t>C4345</t>
  </si>
  <si>
    <t>AC44761500</t>
  </si>
  <si>
    <t>T000742</t>
  </si>
  <si>
    <t>C8673</t>
  </si>
  <si>
    <t>AC74437248</t>
  </si>
  <si>
    <t>BR191</t>
  </si>
  <si>
    <t>T000743</t>
  </si>
  <si>
    <t>AC35560098</t>
  </si>
  <si>
    <t>T000744</t>
  </si>
  <si>
    <t>C7882</t>
  </si>
  <si>
    <t>AC73131845</t>
  </si>
  <si>
    <t>T000745</t>
  </si>
  <si>
    <t>AC25702852</t>
  </si>
  <si>
    <t>BR208</t>
  </si>
  <si>
    <t>T000746</t>
  </si>
  <si>
    <t>C4086</t>
  </si>
  <si>
    <t>AC51055392</t>
  </si>
  <si>
    <t>T000747</t>
  </si>
  <si>
    <t>C9152</t>
  </si>
  <si>
    <t>AC41073264</t>
  </si>
  <si>
    <t>T000748</t>
  </si>
  <si>
    <t>C6750</t>
  </si>
  <si>
    <t>AC54336333</t>
  </si>
  <si>
    <t>BR911</t>
  </si>
  <si>
    <t>T000749</t>
  </si>
  <si>
    <t>AC13040267</t>
  </si>
  <si>
    <t>BR534</t>
  </si>
  <si>
    <t>T000750</t>
  </si>
  <si>
    <t>AC86794548</t>
  </si>
  <si>
    <t>T000751</t>
  </si>
  <si>
    <t>C2976</t>
  </si>
  <si>
    <t>AC57876337</t>
  </si>
  <si>
    <t>BR317</t>
  </si>
  <si>
    <t>T000752</t>
  </si>
  <si>
    <t>C2296</t>
  </si>
  <si>
    <t>AC31217066</t>
  </si>
  <si>
    <t>BR321</t>
  </si>
  <si>
    <t>T000753</t>
  </si>
  <si>
    <t>C7229</t>
  </si>
  <si>
    <t>AC84645629</t>
  </si>
  <si>
    <t>T000754</t>
  </si>
  <si>
    <t>C8641</t>
  </si>
  <si>
    <t>AC71468641</t>
  </si>
  <si>
    <t>BR627</t>
  </si>
  <si>
    <t>T000755</t>
  </si>
  <si>
    <t>C1125</t>
  </si>
  <si>
    <t>AC55658328</t>
  </si>
  <si>
    <t>T000756</t>
  </si>
  <si>
    <t>C5632</t>
  </si>
  <si>
    <t>AC70644657</t>
  </si>
  <si>
    <t>T000757</t>
  </si>
  <si>
    <t>C7288</t>
  </si>
  <si>
    <t>AC28673436</t>
  </si>
  <si>
    <t>T000758</t>
  </si>
  <si>
    <t>C4596</t>
  </si>
  <si>
    <t>AC85643942</t>
  </si>
  <si>
    <t>BR974</t>
  </si>
  <si>
    <t>T000759</t>
  </si>
  <si>
    <t>C7168</t>
  </si>
  <si>
    <t>AC84044638</t>
  </si>
  <si>
    <t>BR565</t>
  </si>
  <si>
    <t>T000760</t>
  </si>
  <si>
    <t>C8561</t>
  </si>
  <si>
    <t>AC28144439</t>
  </si>
  <si>
    <t>BR938</t>
  </si>
  <si>
    <t>T000761</t>
  </si>
  <si>
    <t>C9258</t>
  </si>
  <si>
    <t>AC76984430</t>
  </si>
  <si>
    <t>T000762</t>
  </si>
  <si>
    <t>C1232</t>
  </si>
  <si>
    <t>AC96314161</t>
  </si>
  <si>
    <t>T000763</t>
  </si>
  <si>
    <t>C7371</t>
  </si>
  <si>
    <t>AC55587883</t>
  </si>
  <si>
    <t>T000764</t>
  </si>
  <si>
    <t>C5206</t>
  </si>
  <si>
    <t>AC14273445</t>
  </si>
  <si>
    <t>T000765</t>
  </si>
  <si>
    <t>C8943</t>
  </si>
  <si>
    <t>AC72926675</t>
  </si>
  <si>
    <t>BR129</t>
  </si>
  <si>
    <t>T000766</t>
  </si>
  <si>
    <t>C7891</t>
  </si>
  <si>
    <t>AC13184790</t>
  </si>
  <si>
    <t>T000767</t>
  </si>
  <si>
    <t>C7738</t>
  </si>
  <si>
    <t>AC43134205</t>
  </si>
  <si>
    <t>BR387</t>
  </si>
  <si>
    <t>T000768</t>
  </si>
  <si>
    <t>C3472</t>
  </si>
  <si>
    <t>AC89638835</t>
  </si>
  <si>
    <t>BR185</t>
  </si>
  <si>
    <t>T000769</t>
  </si>
  <si>
    <t>C3739</t>
  </si>
  <si>
    <t>AC83790799</t>
  </si>
  <si>
    <t>BR333</t>
  </si>
  <si>
    <t>T000770</t>
  </si>
  <si>
    <t>C6401</t>
  </si>
  <si>
    <t>AC19963441</t>
  </si>
  <si>
    <t>BR846</t>
  </si>
  <si>
    <t>T000771</t>
  </si>
  <si>
    <t>C2761</t>
  </si>
  <si>
    <t>AC71647593</t>
  </si>
  <si>
    <t>T000772</t>
  </si>
  <si>
    <t>AC70769147</t>
  </si>
  <si>
    <t>T000773</t>
  </si>
  <si>
    <t>C4812</t>
  </si>
  <si>
    <t>AC83798006</t>
  </si>
  <si>
    <t>BR876</t>
  </si>
  <si>
    <t>T000774</t>
  </si>
  <si>
    <t>AC36336263</t>
  </si>
  <si>
    <t>T000775</t>
  </si>
  <si>
    <t>C2733</t>
  </si>
  <si>
    <t>AC14990961</t>
  </si>
  <si>
    <t>T000776</t>
  </si>
  <si>
    <t>C2605</t>
  </si>
  <si>
    <t>AC13646804</t>
  </si>
  <si>
    <t>BR368</t>
  </si>
  <si>
    <t>T000777</t>
  </si>
  <si>
    <t>C6622</t>
  </si>
  <si>
    <t>AC10647296</t>
  </si>
  <si>
    <t>T000778</t>
  </si>
  <si>
    <t>C7767</t>
  </si>
  <si>
    <t>AC61880950</t>
  </si>
  <si>
    <t>T000779</t>
  </si>
  <si>
    <t>C7986</t>
  </si>
  <si>
    <t>AC80231815</t>
  </si>
  <si>
    <t>BR902</t>
  </si>
  <si>
    <t>T000780</t>
  </si>
  <si>
    <t>C4517</t>
  </si>
  <si>
    <t>AC36844511</t>
  </si>
  <si>
    <t>T000781</t>
  </si>
  <si>
    <t>C4735</t>
  </si>
  <si>
    <t>AC77908965</t>
  </si>
  <si>
    <t>T000782</t>
  </si>
  <si>
    <t>C9434</t>
  </si>
  <si>
    <t>AC99763925</t>
  </si>
  <si>
    <t>T000783</t>
  </si>
  <si>
    <t>C3590</t>
  </si>
  <si>
    <t>AC32791342</t>
  </si>
  <si>
    <t>BR279</t>
  </si>
  <si>
    <t>T000784</t>
  </si>
  <si>
    <t>C2063</t>
  </si>
  <si>
    <t>AC32015777</t>
  </si>
  <si>
    <t>T000785</t>
  </si>
  <si>
    <t>C5324</t>
  </si>
  <si>
    <t>AC33116992</t>
  </si>
  <si>
    <t>BR579</t>
  </si>
  <si>
    <t>T000786</t>
  </si>
  <si>
    <t>C6342</t>
  </si>
  <si>
    <t>AC52439798</t>
  </si>
  <si>
    <t>BR988</t>
  </si>
  <si>
    <t>T000787</t>
  </si>
  <si>
    <t>C1005</t>
  </si>
  <si>
    <t>AC40555353</t>
  </si>
  <si>
    <t>BR262</t>
  </si>
  <si>
    <t>T000788</t>
  </si>
  <si>
    <t>C8489</t>
  </si>
  <si>
    <t>AC85230621</t>
  </si>
  <si>
    <t>T000789</t>
  </si>
  <si>
    <t>C9659</t>
  </si>
  <si>
    <t>AC88929433</t>
  </si>
  <si>
    <t>BR987</t>
  </si>
  <si>
    <t>T000790</t>
  </si>
  <si>
    <t>C9195</t>
  </si>
  <si>
    <t>AC99588014</t>
  </si>
  <si>
    <t>T000791</t>
  </si>
  <si>
    <t>C6966</t>
  </si>
  <si>
    <t>AC44831079</t>
  </si>
  <si>
    <t>BR873</t>
  </si>
  <si>
    <t>T000792</t>
  </si>
  <si>
    <t>C9837</t>
  </si>
  <si>
    <t>AC89540080</t>
  </si>
  <si>
    <t>T000793</t>
  </si>
  <si>
    <t>C1117</t>
  </si>
  <si>
    <t>AC93149786</t>
  </si>
  <si>
    <t>T000794</t>
  </si>
  <si>
    <t>C3551</t>
  </si>
  <si>
    <t>AC71247832</t>
  </si>
  <si>
    <t>BR452</t>
  </si>
  <si>
    <t>T000795</t>
  </si>
  <si>
    <t>C6560</t>
  </si>
  <si>
    <t>AC18704813</t>
  </si>
  <si>
    <t>BR899</t>
  </si>
  <si>
    <t>T000796</t>
  </si>
  <si>
    <t>C5289</t>
  </si>
  <si>
    <t>AC63376963</t>
  </si>
  <si>
    <t>T000797</t>
  </si>
  <si>
    <t>C1846</t>
  </si>
  <si>
    <t>AC97030560</t>
  </si>
  <si>
    <t>T000798</t>
  </si>
  <si>
    <t>AC39461504</t>
  </si>
  <si>
    <t>T000799</t>
  </si>
  <si>
    <t>C7469</t>
  </si>
  <si>
    <t>AC24497054</t>
  </si>
  <si>
    <t>BR511</t>
  </si>
  <si>
    <t>T000800</t>
  </si>
  <si>
    <t>C9915</t>
  </si>
  <si>
    <t>AC21319247</t>
  </si>
  <si>
    <t>T000801</t>
  </si>
  <si>
    <t>C1224</t>
  </si>
  <si>
    <t>AC71585037</t>
  </si>
  <si>
    <t>BR217</t>
  </si>
  <si>
    <t>T000802</t>
  </si>
  <si>
    <t>C5208</t>
  </si>
  <si>
    <t>AC91022004</t>
  </si>
  <si>
    <t>T000803</t>
  </si>
  <si>
    <t>C7283</t>
  </si>
  <si>
    <t>AC56048559</t>
  </si>
  <si>
    <t>T000804</t>
  </si>
  <si>
    <t>AC73072616</t>
  </si>
  <si>
    <t>BR690</t>
  </si>
  <si>
    <t>T000805</t>
  </si>
  <si>
    <t>C7233</t>
  </si>
  <si>
    <t>AC65160409</t>
  </si>
  <si>
    <t>BR689</t>
  </si>
  <si>
    <t>T000806</t>
  </si>
  <si>
    <t>C2828</t>
  </si>
  <si>
    <t>AC30717501</t>
  </si>
  <si>
    <t>BR758</t>
  </si>
  <si>
    <t>T000807</t>
  </si>
  <si>
    <t>C2917</t>
  </si>
  <si>
    <t>AC16851803</t>
  </si>
  <si>
    <t>BR206</t>
  </si>
  <si>
    <t>T000808</t>
  </si>
  <si>
    <t>C5234</t>
  </si>
  <si>
    <t>AC23045697</t>
  </si>
  <si>
    <t>T000809</t>
  </si>
  <si>
    <t>C7988</t>
  </si>
  <si>
    <t>AC58120511</t>
  </si>
  <si>
    <t>T000810</t>
  </si>
  <si>
    <t>C3026</t>
  </si>
  <si>
    <t>AC82851397</t>
  </si>
  <si>
    <t>BR489</t>
  </si>
  <si>
    <t>T000811</t>
  </si>
  <si>
    <t>C4744</t>
  </si>
  <si>
    <t>AC34101438</t>
  </si>
  <si>
    <t>BR343</t>
  </si>
  <si>
    <t>T000812</t>
  </si>
  <si>
    <t>AC46181576</t>
  </si>
  <si>
    <t>T000813</t>
  </si>
  <si>
    <t>C1260</t>
  </si>
  <si>
    <t>AC12825896</t>
  </si>
  <si>
    <t>T000814</t>
  </si>
  <si>
    <t>C7038</t>
  </si>
  <si>
    <t>AC20427148</t>
  </si>
  <si>
    <t>BR567</t>
  </si>
  <si>
    <t>T000815</t>
  </si>
  <si>
    <t>C3219</t>
  </si>
  <si>
    <t>AC14876872</t>
  </si>
  <si>
    <t>T000816</t>
  </si>
  <si>
    <t>AC29397196</t>
  </si>
  <si>
    <t>T000817</t>
  </si>
  <si>
    <t>C3060</t>
  </si>
  <si>
    <t>AC41935646</t>
  </si>
  <si>
    <t>T000818</t>
  </si>
  <si>
    <t>C6287</t>
  </si>
  <si>
    <t>AC94607464</t>
  </si>
  <si>
    <t>T000819</t>
  </si>
  <si>
    <t>C2619</t>
  </si>
  <si>
    <t>AC75969098</t>
  </si>
  <si>
    <t>T000820</t>
  </si>
  <si>
    <t>C9512</t>
  </si>
  <si>
    <t>AC25099203</t>
  </si>
  <si>
    <t>T000821</t>
  </si>
  <si>
    <t>C2342</t>
  </si>
  <si>
    <t>AC75244261</t>
  </si>
  <si>
    <t>BR734</t>
  </si>
  <si>
    <t>T000822</t>
  </si>
  <si>
    <t>AC72419437</t>
  </si>
  <si>
    <t>BR408</t>
  </si>
  <si>
    <t>T000823</t>
  </si>
  <si>
    <t>C3824</t>
  </si>
  <si>
    <t>AC93428995</t>
  </si>
  <si>
    <t>BR795</t>
  </si>
  <si>
    <t>T000824</t>
  </si>
  <si>
    <t>C2994</t>
  </si>
  <si>
    <t>AC58719461</t>
  </si>
  <si>
    <t>BR798</t>
  </si>
  <si>
    <t>T000825</t>
  </si>
  <si>
    <t>C4490</t>
  </si>
  <si>
    <t>AC12887698</t>
  </si>
  <si>
    <t>T000826</t>
  </si>
  <si>
    <t>C8984</t>
  </si>
  <si>
    <t>AC62764241</t>
  </si>
  <si>
    <t>T000827</t>
  </si>
  <si>
    <t>C2604</t>
  </si>
  <si>
    <t>AC22417420</t>
  </si>
  <si>
    <t>BR959</t>
  </si>
  <si>
    <t>T000828</t>
  </si>
  <si>
    <t>C1235</t>
  </si>
  <si>
    <t>AC81140328</t>
  </si>
  <si>
    <t>T000829</t>
  </si>
  <si>
    <t>C2908</t>
  </si>
  <si>
    <t>AC30167958</t>
  </si>
  <si>
    <t>T000830</t>
  </si>
  <si>
    <t>C9567</t>
  </si>
  <si>
    <t>AC32910282</t>
  </si>
  <si>
    <t>T000831</t>
  </si>
  <si>
    <t>C4530</t>
  </si>
  <si>
    <t>AC12887296</t>
  </si>
  <si>
    <t>T000832</t>
  </si>
  <si>
    <t>C6256</t>
  </si>
  <si>
    <t>AC77084285</t>
  </si>
  <si>
    <t>T000833</t>
  </si>
  <si>
    <t>C3635</t>
  </si>
  <si>
    <t>AC66861493</t>
  </si>
  <si>
    <t>T000834</t>
  </si>
  <si>
    <t>C9162</t>
  </si>
  <si>
    <t>AC34733272</t>
  </si>
  <si>
    <t>T000835</t>
  </si>
  <si>
    <t>C3560</t>
  </si>
  <si>
    <t>AC78209364</t>
  </si>
  <si>
    <t>BR886</t>
  </si>
  <si>
    <t>T000836</t>
  </si>
  <si>
    <t>C6415</t>
  </si>
  <si>
    <t>AC61908238</t>
  </si>
  <si>
    <t>BR248</t>
  </si>
  <si>
    <t>T000837</t>
  </si>
  <si>
    <t>C4391</t>
  </si>
  <si>
    <t>AC32371392</t>
  </si>
  <si>
    <t>T000838</t>
  </si>
  <si>
    <t>C6951</t>
  </si>
  <si>
    <t>AC79070841</t>
  </si>
  <si>
    <t>T000839</t>
  </si>
  <si>
    <t>C6468</t>
  </si>
  <si>
    <t>AC14032654</t>
  </si>
  <si>
    <t>T000840</t>
  </si>
  <si>
    <t>C9007</t>
  </si>
  <si>
    <t>AC44218900</t>
  </si>
  <si>
    <t>BR379</t>
  </si>
  <si>
    <t>T000841</t>
  </si>
  <si>
    <t>C7413</t>
  </si>
  <si>
    <t>AC33277458</t>
  </si>
  <si>
    <t>T000842</t>
  </si>
  <si>
    <t>AC68231611</t>
  </si>
  <si>
    <t>BR784</t>
  </si>
  <si>
    <t>T000843</t>
  </si>
  <si>
    <t>C5820</t>
  </si>
  <si>
    <t>AC84087004</t>
  </si>
  <si>
    <t>T000844</t>
  </si>
  <si>
    <t>C3898</t>
  </si>
  <si>
    <t>AC58076248</t>
  </si>
  <si>
    <t>BR337</t>
  </si>
  <si>
    <t>T000845</t>
  </si>
  <si>
    <t>C8546</t>
  </si>
  <si>
    <t>AC21748768</t>
  </si>
  <si>
    <t>T000846</t>
  </si>
  <si>
    <t>C1077</t>
  </si>
  <si>
    <t>AC90720176</t>
  </si>
  <si>
    <t>T000847</t>
  </si>
  <si>
    <t>C8577</t>
  </si>
  <si>
    <t>AC72005983</t>
  </si>
  <si>
    <t>T000848</t>
  </si>
  <si>
    <t>C5227</t>
  </si>
  <si>
    <t>AC39718818</t>
  </si>
  <si>
    <t>T000849</t>
  </si>
  <si>
    <t>C1600</t>
  </si>
  <si>
    <t>AC46591531</t>
  </si>
  <si>
    <t>BR372</t>
  </si>
  <si>
    <t>T000850</t>
  </si>
  <si>
    <t>C2065</t>
  </si>
  <si>
    <t>AC72994533</t>
  </si>
  <si>
    <t>T000851</t>
  </si>
  <si>
    <t>C3136</t>
  </si>
  <si>
    <t>AC55938649</t>
  </si>
  <si>
    <t>BR143</t>
  </si>
  <si>
    <t>T000852</t>
  </si>
  <si>
    <t>C7943</t>
  </si>
  <si>
    <t>AC51655138</t>
  </si>
  <si>
    <t>BR672</t>
  </si>
  <si>
    <t>T000853</t>
  </si>
  <si>
    <t>C8804</t>
  </si>
  <si>
    <t>AC62374471</t>
  </si>
  <si>
    <t>T000854</t>
  </si>
  <si>
    <t>C7565</t>
  </si>
  <si>
    <t>AC61379821</t>
  </si>
  <si>
    <t>T000855</t>
  </si>
  <si>
    <t>C6984</t>
  </si>
  <si>
    <t>AC85488205</t>
  </si>
  <si>
    <t>T000856</t>
  </si>
  <si>
    <t>C6142</t>
  </si>
  <si>
    <t>AC50133569</t>
  </si>
  <si>
    <t>T000857</t>
  </si>
  <si>
    <t>C5670</t>
  </si>
  <si>
    <t>AC11912584</t>
  </si>
  <si>
    <t>BR508</t>
  </si>
  <si>
    <t>T000858</t>
  </si>
  <si>
    <t>C3190</t>
  </si>
  <si>
    <t>AC30554754</t>
  </si>
  <si>
    <t>BR422</t>
  </si>
  <si>
    <t>T000859</t>
  </si>
  <si>
    <t>C3712</t>
  </si>
  <si>
    <t>AC57732820</t>
  </si>
  <si>
    <t>T000860</t>
  </si>
  <si>
    <t>C3192</t>
  </si>
  <si>
    <t>AC94111129</t>
  </si>
  <si>
    <t>BR869</t>
  </si>
  <si>
    <t>T000861</t>
  </si>
  <si>
    <t>C2248</t>
  </si>
  <si>
    <t>AC70037447</t>
  </si>
  <si>
    <t>T000862</t>
  </si>
  <si>
    <t>C5033</t>
  </si>
  <si>
    <t>AC91955631</t>
  </si>
  <si>
    <t>BR532</t>
  </si>
  <si>
    <t>T000863</t>
  </si>
  <si>
    <t>C2997</t>
  </si>
  <si>
    <t>AC24677441</t>
  </si>
  <si>
    <t>T000864</t>
  </si>
  <si>
    <t>C4687</t>
  </si>
  <si>
    <t>AC54804549</t>
  </si>
  <si>
    <t>BR893</t>
  </si>
  <si>
    <t>T000865</t>
  </si>
  <si>
    <t>C5018</t>
  </si>
  <si>
    <t>AC44301851</t>
  </si>
  <si>
    <t>T000866</t>
  </si>
  <si>
    <t>C2970</t>
  </si>
  <si>
    <t>AC15438684</t>
  </si>
  <si>
    <t>T000867</t>
  </si>
  <si>
    <t>C9389</t>
  </si>
  <si>
    <t>AC75147544</t>
  </si>
  <si>
    <t>BR638</t>
  </si>
  <si>
    <t>T000868</t>
  </si>
  <si>
    <t>C6765</t>
  </si>
  <si>
    <t>AC32315019</t>
  </si>
  <si>
    <t>T000869</t>
  </si>
  <si>
    <t>C2202</t>
  </si>
  <si>
    <t>AC85902244</t>
  </si>
  <si>
    <t>T000870</t>
  </si>
  <si>
    <t>C9135</t>
  </si>
  <si>
    <t>AC20104107</t>
  </si>
  <si>
    <t>T000871</t>
  </si>
  <si>
    <t>C6567</t>
  </si>
  <si>
    <t>AC44125539</t>
  </si>
  <si>
    <t>T000872</t>
  </si>
  <si>
    <t>C8667</t>
  </si>
  <si>
    <t>AC70795662</t>
  </si>
  <si>
    <t>BR288</t>
  </si>
  <si>
    <t>T000873</t>
  </si>
  <si>
    <t>C6742</t>
  </si>
  <si>
    <t>AC93173418</t>
  </si>
  <si>
    <t>BR339</t>
  </si>
  <si>
    <t>T000874</t>
  </si>
  <si>
    <t>C6788</t>
  </si>
  <si>
    <t>AC73923119</t>
  </si>
  <si>
    <t>BR970</t>
  </si>
  <si>
    <t>T000875</t>
  </si>
  <si>
    <t>C6408</t>
  </si>
  <si>
    <t>AC88014806</t>
  </si>
  <si>
    <t>BR998</t>
  </si>
  <si>
    <t>T000876</t>
  </si>
  <si>
    <t>C9669</t>
  </si>
  <si>
    <t>AC12086213</t>
  </si>
  <si>
    <t>BR602</t>
  </si>
  <si>
    <t>T000877</t>
  </si>
  <si>
    <t>C1922</t>
  </si>
  <si>
    <t>AC87411194</t>
  </si>
  <si>
    <t>T000878</t>
  </si>
  <si>
    <t>C1419</t>
  </si>
  <si>
    <t>AC88308332</t>
  </si>
  <si>
    <t>BR908</t>
  </si>
  <si>
    <t>T000879</t>
  </si>
  <si>
    <t>C3204</t>
  </si>
  <si>
    <t>AC52491924</t>
  </si>
  <si>
    <t>T000880</t>
  </si>
  <si>
    <t>C2120</t>
  </si>
  <si>
    <t>AC45553686</t>
  </si>
  <si>
    <t>T000881</t>
  </si>
  <si>
    <t>C1950</t>
  </si>
  <si>
    <t>AC42482294</t>
  </si>
  <si>
    <t>T000882</t>
  </si>
  <si>
    <t>C3336</t>
  </si>
  <si>
    <t>AC47710964</t>
  </si>
  <si>
    <t>T000883</t>
  </si>
  <si>
    <t>C6373</t>
  </si>
  <si>
    <t>AC83701774</t>
  </si>
  <si>
    <t>T000884</t>
  </si>
  <si>
    <t>C3243</t>
  </si>
  <si>
    <t>AC99268938</t>
  </si>
  <si>
    <t>T000885</t>
  </si>
  <si>
    <t>C3645</t>
  </si>
  <si>
    <t>AC31794866</t>
  </si>
  <si>
    <t>BR438</t>
  </si>
  <si>
    <t>T000886</t>
  </si>
  <si>
    <t>C5612</t>
  </si>
  <si>
    <t>AC51464131</t>
  </si>
  <si>
    <t>T000887</t>
  </si>
  <si>
    <t>C2865</t>
  </si>
  <si>
    <t>AC54810380</t>
  </si>
  <si>
    <t>T000888</t>
  </si>
  <si>
    <t>C7028</t>
  </si>
  <si>
    <t>AC43812949</t>
  </si>
  <si>
    <t>T000889</t>
  </si>
  <si>
    <t>C8326</t>
  </si>
  <si>
    <t>AC40315282</t>
  </si>
  <si>
    <t>T000890</t>
  </si>
  <si>
    <t>AC42945953</t>
  </si>
  <si>
    <t>T000891</t>
  </si>
  <si>
    <t>C7359</t>
  </si>
  <si>
    <t>AC53300173</t>
  </si>
  <si>
    <t>T000892</t>
  </si>
  <si>
    <t>C8863</t>
  </si>
  <si>
    <t>AC83537404</t>
  </si>
  <si>
    <t>T000893</t>
  </si>
  <si>
    <t>C4228</t>
  </si>
  <si>
    <t>AC39105135</t>
  </si>
  <si>
    <t>T000894</t>
  </si>
  <si>
    <t>AC25560243</t>
  </si>
  <si>
    <t>T000895</t>
  </si>
  <si>
    <t>C3371</t>
  </si>
  <si>
    <t>AC69468269</t>
  </si>
  <si>
    <t>BR360</t>
  </si>
  <si>
    <t>T000896</t>
  </si>
  <si>
    <t>C3891</t>
  </si>
  <si>
    <t>AC14338843</t>
  </si>
  <si>
    <t>T000897</t>
  </si>
  <si>
    <t>C4756</t>
  </si>
  <si>
    <t>AC43978658</t>
  </si>
  <si>
    <t>T000898</t>
  </si>
  <si>
    <t>C5225</t>
  </si>
  <si>
    <t>AC89165063</t>
  </si>
  <si>
    <t>T000899</t>
  </si>
  <si>
    <t>C1094</t>
  </si>
  <si>
    <t>AC81226787</t>
  </si>
  <si>
    <t>T000900</t>
  </si>
  <si>
    <t>C3674</t>
  </si>
  <si>
    <t>AC44253388</t>
  </si>
  <si>
    <t>T000901</t>
  </si>
  <si>
    <t>C7898</t>
  </si>
  <si>
    <t>AC41349379</t>
  </si>
  <si>
    <t>BR791</t>
  </si>
  <si>
    <t>T000902</t>
  </si>
  <si>
    <t>C1793</t>
  </si>
  <si>
    <t>AC55844569</t>
  </si>
  <si>
    <t>BR861</t>
  </si>
  <si>
    <t>T000903</t>
  </si>
  <si>
    <t>C3116</t>
  </si>
  <si>
    <t>AC77284075</t>
  </si>
  <si>
    <t>T000904</t>
  </si>
  <si>
    <t>C6779</t>
  </si>
  <si>
    <t>AC89590438</t>
  </si>
  <si>
    <t>BR571</t>
  </si>
  <si>
    <t>T000905</t>
  </si>
  <si>
    <t>C7166</t>
  </si>
  <si>
    <t>AC70251070</t>
  </si>
  <si>
    <t>T000906</t>
  </si>
  <si>
    <t>C1814</t>
  </si>
  <si>
    <t>AC66379703</t>
  </si>
  <si>
    <t>T000907</t>
  </si>
  <si>
    <t>C1345</t>
  </si>
  <si>
    <t>AC62215024</t>
  </si>
  <si>
    <t>T000908</t>
  </si>
  <si>
    <t>C9554</t>
  </si>
  <si>
    <t>AC30668329</t>
  </si>
  <si>
    <t>T000909</t>
  </si>
  <si>
    <t>C3443</t>
  </si>
  <si>
    <t>AC38186921</t>
  </si>
  <si>
    <t>BR395</t>
  </si>
  <si>
    <t>T000910</t>
  </si>
  <si>
    <t>C8783</t>
  </si>
  <si>
    <t>AC59402807</t>
  </si>
  <si>
    <t>BR105</t>
  </si>
  <si>
    <t>T000911</t>
  </si>
  <si>
    <t>C1984</t>
  </si>
  <si>
    <t>AC88500947</t>
  </si>
  <si>
    <t>T000912</t>
  </si>
  <si>
    <t>C8790</t>
  </si>
  <si>
    <t>AC73546819</t>
  </si>
  <si>
    <t>T000913</t>
  </si>
  <si>
    <t>C1827</t>
  </si>
  <si>
    <t>AC23952821</t>
  </si>
  <si>
    <t>BR967</t>
  </si>
  <si>
    <t>T000914</t>
  </si>
  <si>
    <t>C4531</t>
  </si>
  <si>
    <t>AC91503616</t>
  </si>
  <si>
    <t>T000915</t>
  </si>
  <si>
    <t>C8147</t>
  </si>
  <si>
    <t>AC62237687</t>
  </si>
  <si>
    <t>BR302</t>
  </si>
  <si>
    <t>T000916</t>
  </si>
  <si>
    <t>C5451</t>
  </si>
  <si>
    <t>AC45009897</t>
  </si>
  <si>
    <t>T000917</t>
  </si>
  <si>
    <t>C4876</t>
  </si>
  <si>
    <t>AC89690286</t>
  </si>
  <si>
    <t>T000918</t>
  </si>
  <si>
    <t>C6959</t>
  </si>
  <si>
    <t>AC69714426</t>
  </si>
  <si>
    <t>BR884</t>
  </si>
  <si>
    <t>T000919</t>
  </si>
  <si>
    <t>C1126</t>
  </si>
  <si>
    <t>AC21098252</t>
  </si>
  <si>
    <t>T000920</t>
  </si>
  <si>
    <t>AC43766262</t>
  </si>
  <si>
    <t>BR426</t>
  </si>
  <si>
    <t>T000921</t>
  </si>
  <si>
    <t>C9795</t>
  </si>
  <si>
    <t>AC65771029</t>
  </si>
  <si>
    <t>T000922</t>
  </si>
  <si>
    <t>C7024</t>
  </si>
  <si>
    <t>AC38728437</t>
  </si>
  <si>
    <t>BR860</t>
  </si>
  <si>
    <t>T000923</t>
  </si>
  <si>
    <t>C6109</t>
  </si>
  <si>
    <t>AC75176852</t>
  </si>
  <si>
    <t>T000924</t>
  </si>
  <si>
    <t>AC49541461</t>
  </si>
  <si>
    <t>T000925</t>
  </si>
  <si>
    <t>C8196</t>
  </si>
  <si>
    <t>AC50071048</t>
  </si>
  <si>
    <t>T000926</t>
  </si>
  <si>
    <t>C4368</t>
  </si>
  <si>
    <t>AC63660697</t>
  </si>
  <si>
    <t>T000927</t>
  </si>
  <si>
    <t>C4797</t>
  </si>
  <si>
    <t>AC84006537</t>
  </si>
  <si>
    <t>T000928</t>
  </si>
  <si>
    <t>C2792</t>
  </si>
  <si>
    <t>AC89557591</t>
  </si>
  <si>
    <t>T000929</t>
  </si>
  <si>
    <t>AC30523385</t>
  </si>
  <si>
    <t>BR441</t>
  </si>
  <si>
    <t>T000930</t>
  </si>
  <si>
    <t>C4476</t>
  </si>
  <si>
    <t>AC83111160</t>
  </si>
  <si>
    <t>T000931</t>
  </si>
  <si>
    <t>C4417</t>
  </si>
  <si>
    <t>AC95661847</t>
  </si>
  <si>
    <t>BR891</t>
  </si>
  <si>
    <t>T000932</t>
  </si>
  <si>
    <t>C2645</t>
  </si>
  <si>
    <t>AC51538255</t>
  </si>
  <si>
    <t>T000933</t>
  </si>
  <si>
    <t>C4030</t>
  </si>
  <si>
    <t>AC87827225</t>
  </si>
  <si>
    <t>T000934</t>
  </si>
  <si>
    <t>C3872</t>
  </si>
  <si>
    <t>AC34245082</t>
  </si>
  <si>
    <t>T000935</t>
  </si>
  <si>
    <t>AC99380419</t>
  </si>
  <si>
    <t>BR871</t>
  </si>
  <si>
    <t>T000936</t>
  </si>
  <si>
    <t>C2854</t>
  </si>
  <si>
    <t>AC66728215</t>
  </si>
  <si>
    <t>T000937</t>
  </si>
  <si>
    <t>C5021</t>
  </si>
  <si>
    <t>AC53440658</t>
  </si>
  <si>
    <t>BR145</t>
  </si>
  <si>
    <t>T000938</t>
  </si>
  <si>
    <t>C5662</t>
  </si>
  <si>
    <t>AC41886947</t>
  </si>
  <si>
    <t>T000939</t>
  </si>
  <si>
    <t>C7514</t>
  </si>
  <si>
    <t>AC85111483</t>
  </si>
  <si>
    <t>T000940</t>
  </si>
  <si>
    <t>C6031</t>
  </si>
  <si>
    <t>AC75174694</t>
  </si>
  <si>
    <t>BR654</t>
  </si>
  <si>
    <t>T000941</t>
  </si>
  <si>
    <t>C3708</t>
  </si>
  <si>
    <t>AC58532681</t>
  </si>
  <si>
    <t>T000942</t>
  </si>
  <si>
    <t>C8112</t>
  </si>
  <si>
    <t>AC17667857</t>
  </si>
  <si>
    <t>BR960</t>
  </si>
  <si>
    <t>T000943</t>
  </si>
  <si>
    <t>C9393</t>
  </si>
  <si>
    <t>AC81537554</t>
  </si>
  <si>
    <t>BR714</t>
  </si>
  <si>
    <t>T000944</t>
  </si>
  <si>
    <t>C4507</t>
  </si>
  <si>
    <t>AC71279200</t>
  </si>
  <si>
    <t>BR223</t>
  </si>
  <si>
    <t>T000945</t>
  </si>
  <si>
    <t>C7456</t>
  </si>
  <si>
    <t>AC85998646</t>
  </si>
  <si>
    <t>T000946</t>
  </si>
  <si>
    <t>C5212</t>
  </si>
  <si>
    <t>AC60526894</t>
  </si>
  <si>
    <t>T000947</t>
  </si>
  <si>
    <t>C8970</t>
  </si>
  <si>
    <t>AC80805040</t>
  </si>
  <si>
    <t>T000948</t>
  </si>
  <si>
    <t>C9766</t>
  </si>
  <si>
    <t>AC87840866</t>
  </si>
  <si>
    <t>BR642</t>
  </si>
  <si>
    <t>T000949</t>
  </si>
  <si>
    <t>C1536</t>
  </si>
  <si>
    <t>AC91806561</t>
  </si>
  <si>
    <t>T000950</t>
  </si>
  <si>
    <t>C2625</t>
  </si>
  <si>
    <t>AC27789600</t>
  </si>
  <si>
    <t>T000951</t>
  </si>
  <si>
    <t>C8973</t>
  </si>
  <si>
    <t>AC27644180</t>
  </si>
  <si>
    <t>T000952</t>
  </si>
  <si>
    <t>C9577</t>
  </si>
  <si>
    <t>AC18437712</t>
  </si>
  <si>
    <t>T000953</t>
  </si>
  <si>
    <t>C9070</t>
  </si>
  <si>
    <t>AC82892046</t>
  </si>
  <si>
    <t>BR985</t>
  </si>
  <si>
    <t>T000954</t>
  </si>
  <si>
    <t>AC59375650</t>
  </si>
  <si>
    <t>T000955</t>
  </si>
  <si>
    <t>C9609</t>
  </si>
  <si>
    <t>AC67312219</t>
  </si>
  <si>
    <t>T000956</t>
  </si>
  <si>
    <t>C7490</t>
  </si>
  <si>
    <t>AC90256454</t>
  </si>
  <si>
    <t>BR316</t>
  </si>
  <si>
    <t>T000957</t>
  </si>
  <si>
    <t>C4600</t>
  </si>
  <si>
    <t>AC76346143</t>
  </si>
  <si>
    <t>BR101</t>
  </si>
  <si>
    <t>T000958</t>
  </si>
  <si>
    <t>C7783</t>
  </si>
  <si>
    <t>AC65666186</t>
  </si>
  <si>
    <t>BR635</t>
  </si>
  <si>
    <t>T000959</t>
  </si>
  <si>
    <t>C5971</t>
  </si>
  <si>
    <t>AC66681097</t>
  </si>
  <si>
    <t>T000960</t>
  </si>
  <si>
    <t>C2205</t>
  </si>
  <si>
    <t>AC39565896</t>
  </si>
  <si>
    <t>T000961</t>
  </si>
  <si>
    <t>C2990</t>
  </si>
  <si>
    <t>AC78315725</t>
  </si>
  <si>
    <t>T000962</t>
  </si>
  <si>
    <t>C6299</t>
  </si>
  <si>
    <t>AC40131276</t>
  </si>
  <si>
    <t>T000963</t>
  </si>
  <si>
    <t>C4572</t>
  </si>
  <si>
    <t>AC13119612</t>
  </si>
  <si>
    <t>BR725</t>
  </si>
  <si>
    <t>T000964</t>
  </si>
  <si>
    <t>C6975</t>
  </si>
  <si>
    <t>AC82045464</t>
  </si>
  <si>
    <t>T000965</t>
  </si>
  <si>
    <t>C7320</t>
  </si>
  <si>
    <t>AC91756929</t>
  </si>
  <si>
    <t>T000966</t>
  </si>
  <si>
    <t>AC59133346</t>
  </si>
  <si>
    <t>T000967</t>
  </si>
  <si>
    <t>C5757</t>
  </si>
  <si>
    <t>AC24160134</t>
  </si>
  <si>
    <t>BR833</t>
  </si>
  <si>
    <t>T000968</t>
  </si>
  <si>
    <t>C3713</t>
  </si>
  <si>
    <t>AC42833108</t>
  </si>
  <si>
    <t>BR190</t>
  </si>
  <si>
    <t>T000969</t>
  </si>
  <si>
    <t>AC94143761</t>
  </si>
  <si>
    <t>T000970</t>
  </si>
  <si>
    <t>C1966</t>
  </si>
  <si>
    <t>AC32406697</t>
  </si>
  <si>
    <t>T000971</t>
  </si>
  <si>
    <t>C5944</t>
  </si>
  <si>
    <t>AC45609212</t>
  </si>
  <si>
    <t>BR381</t>
  </si>
  <si>
    <t>T000972</t>
  </si>
  <si>
    <t>C4432</t>
  </si>
  <si>
    <t>AC34768424</t>
  </si>
  <si>
    <t>T000973</t>
  </si>
  <si>
    <t>C1688</t>
  </si>
  <si>
    <t>AC31200624</t>
  </si>
  <si>
    <t>T000974</t>
  </si>
  <si>
    <t>C5243</t>
  </si>
  <si>
    <t>AC77951050</t>
  </si>
  <si>
    <t>T000975</t>
  </si>
  <si>
    <t>C4701</t>
  </si>
  <si>
    <t>AC24578363</t>
  </si>
  <si>
    <t>T000976</t>
  </si>
  <si>
    <t>C9533</t>
  </si>
  <si>
    <t>AC36659117</t>
  </si>
  <si>
    <t>T000977</t>
  </si>
  <si>
    <t>C6182</t>
  </si>
  <si>
    <t>AC54494354</t>
  </si>
  <si>
    <t>T000978</t>
  </si>
  <si>
    <t>C7704</t>
  </si>
  <si>
    <t>AC50670787</t>
  </si>
  <si>
    <t>T000979</t>
  </si>
  <si>
    <t>C5422</t>
  </si>
  <si>
    <t>AC34003801</t>
  </si>
  <si>
    <t>T000980</t>
  </si>
  <si>
    <t>C2759</t>
  </si>
  <si>
    <t>AC78233769</t>
  </si>
  <si>
    <t>T000981</t>
  </si>
  <si>
    <t>C3482</t>
  </si>
  <si>
    <t>AC82668141</t>
  </si>
  <si>
    <t>BR494</t>
  </si>
  <si>
    <t>T000982</t>
  </si>
  <si>
    <t>C9058</t>
  </si>
  <si>
    <t>AC73975459</t>
  </si>
  <si>
    <t>T000983</t>
  </si>
  <si>
    <t>C1951</t>
  </si>
  <si>
    <t>AC97144164</t>
  </si>
  <si>
    <t>T000984</t>
  </si>
  <si>
    <t>C9914</t>
  </si>
  <si>
    <t>AC92424160</t>
  </si>
  <si>
    <t>T000985</t>
  </si>
  <si>
    <t>C3079</t>
  </si>
  <si>
    <t>AC18593059</t>
  </si>
  <si>
    <t>T000986</t>
  </si>
  <si>
    <t>C3717</t>
  </si>
  <si>
    <t>AC28757506</t>
  </si>
  <si>
    <t>BR775</t>
  </si>
  <si>
    <t>T000987</t>
  </si>
  <si>
    <t>C5524</t>
  </si>
  <si>
    <t>AC56692999</t>
  </si>
  <si>
    <t>T000988</t>
  </si>
  <si>
    <t>C9477</t>
  </si>
  <si>
    <t>AC43957754</t>
  </si>
  <si>
    <t>T000989</t>
  </si>
  <si>
    <t>C8311</t>
  </si>
  <si>
    <t>AC58302504</t>
  </si>
  <si>
    <t>T000990</t>
  </si>
  <si>
    <t>AC39737667</t>
  </si>
  <si>
    <t>T000991</t>
  </si>
  <si>
    <t>C3065</t>
  </si>
  <si>
    <t>AC31088012</t>
  </si>
  <si>
    <t>BR632</t>
  </si>
  <si>
    <t>T000992</t>
  </si>
  <si>
    <t>C1768</t>
  </si>
  <si>
    <t>AC91861168</t>
  </si>
  <si>
    <t>BR240</t>
  </si>
  <si>
    <t>T000993</t>
  </si>
  <si>
    <t>C6490</t>
  </si>
  <si>
    <t>AC93163963</t>
  </si>
  <si>
    <t>T000994</t>
  </si>
  <si>
    <t>C7645</t>
  </si>
  <si>
    <t>AC31958273</t>
  </si>
  <si>
    <t>T000995</t>
  </si>
  <si>
    <t>C6083</t>
  </si>
  <si>
    <t>AC67349051</t>
  </si>
  <si>
    <t>BR558</t>
  </si>
  <si>
    <t>T000996</t>
  </si>
  <si>
    <t>AC92061828</t>
  </si>
  <si>
    <t>BR169</t>
  </si>
  <si>
    <t>T000997</t>
  </si>
  <si>
    <t>C6797</t>
  </si>
  <si>
    <t>AC41918507</t>
  </si>
  <si>
    <t>BR484</t>
  </si>
  <si>
    <t>T000998</t>
  </si>
  <si>
    <t>C5926</t>
  </si>
  <si>
    <t>AC74261658</t>
  </si>
  <si>
    <t>T000999</t>
  </si>
  <si>
    <t>C7016</t>
  </si>
  <si>
    <t>AC75147039</t>
  </si>
  <si>
    <t>BR297</t>
  </si>
  <si>
    <t>T001000</t>
  </si>
  <si>
    <t>C4335</t>
  </si>
  <si>
    <t>AC47632148</t>
  </si>
  <si>
    <t>Customer Age Group</t>
  </si>
  <si>
    <t>A. Age Analysis</t>
  </si>
  <si>
    <t>Cutomers Count</t>
  </si>
  <si>
    <t>Age Category</t>
  </si>
  <si>
    <t>B. Gender Analysis</t>
  </si>
  <si>
    <t>G</t>
  </si>
  <si>
    <t>Sex</t>
  </si>
  <si>
    <t>C. Employment Status</t>
  </si>
  <si>
    <t>Status</t>
  </si>
  <si>
    <t>Count</t>
  </si>
  <si>
    <t xml:space="preserve">ii. Are younger customers more likely to open loans compared to older customers? </t>
  </si>
  <si>
    <t>Adults</t>
  </si>
  <si>
    <t>Middle-Aged</t>
  </si>
  <si>
    <t>Older Adults</t>
  </si>
  <si>
    <t>Seniors</t>
  </si>
  <si>
    <t>Young Adults</t>
  </si>
  <si>
    <t xml:space="preserve"> </t>
  </si>
  <si>
    <t xml:space="preserve">  </t>
  </si>
  <si>
    <t>iii. What is the average monthly income of our customers across different account types?</t>
  </si>
  <si>
    <t>Income</t>
  </si>
  <si>
    <t xml:space="preserve">i.  Which customers have the highest number of transactions? </t>
  </si>
  <si>
    <t>1.   Customer Segmentation</t>
  </si>
  <si>
    <t>i. What is the demographic breakdown of our customers by age, gender, and employment status?</t>
  </si>
  <si>
    <t>Ratings</t>
  </si>
  <si>
    <t>Method_1</t>
  </si>
  <si>
    <t>Method_2</t>
  </si>
  <si>
    <t>Customer Names</t>
  </si>
  <si>
    <t>Transactions</t>
  </si>
  <si>
    <t xml:space="preserve">Transaction </t>
  </si>
  <si>
    <t>2.     Customer Activity</t>
  </si>
  <si>
    <t>ii. How does customer transaction behavior vary by branch code and transaction type?</t>
  </si>
  <si>
    <t>A. Transaction Type</t>
  </si>
  <si>
    <t>Transaction Count</t>
  </si>
  <si>
    <t>Branch</t>
  </si>
  <si>
    <t>B.  Customer Behavior by  Branch Code</t>
  </si>
  <si>
    <t>3. Customer Retention and Loyalty</t>
  </si>
  <si>
    <t>i. Are high-balance account holders more likely to remain active in the long term?</t>
  </si>
  <si>
    <t>Account Level</t>
  </si>
  <si>
    <t>Active</t>
  </si>
  <si>
    <t>Not Active</t>
  </si>
  <si>
    <t xml:space="preserve"> Account Status</t>
  </si>
  <si>
    <t>Grand Total</t>
  </si>
  <si>
    <t>ii. How does transaction frequency differ between customers with loans and those without?</t>
  </si>
  <si>
    <t>Loan Status</t>
  </si>
  <si>
    <t>Without Loan</t>
  </si>
  <si>
    <t>With Loan</t>
  </si>
  <si>
    <t>4. Revenue and Profitability</t>
  </si>
  <si>
    <t>i. What is the total revenue generated from interest across different loan durations?</t>
  </si>
  <si>
    <t>Interest income</t>
  </si>
  <si>
    <t>Duration</t>
  </si>
  <si>
    <t>Amount</t>
  </si>
  <si>
    <t>ii. Which branch contributes the most to overall revenue?</t>
  </si>
  <si>
    <t>Revenue</t>
  </si>
  <si>
    <t xml:space="preserve">iii. How much revenue is generated from each currency type? </t>
  </si>
  <si>
    <t>5. Transaction Analysis</t>
  </si>
  <si>
    <t xml:space="preserve">i.  What is the average transaction amount for each transaction type? </t>
  </si>
  <si>
    <t>Type</t>
  </si>
  <si>
    <t>AVG Amount</t>
  </si>
  <si>
    <t xml:space="preserve">ii. How does transaction volume fluctuate by time period (daily, monthly, 
quarterly)? </t>
  </si>
  <si>
    <t>Qtr1</t>
  </si>
  <si>
    <t>Qtr2</t>
  </si>
  <si>
    <t>Qtr3</t>
  </si>
  <si>
    <t>Qtr4</t>
  </si>
  <si>
    <t>Jan</t>
  </si>
  <si>
    <t>Feb</t>
  </si>
  <si>
    <t>Mar</t>
  </si>
  <si>
    <t>Count of Transactions</t>
  </si>
  <si>
    <t>Day</t>
  </si>
  <si>
    <t>Month</t>
  </si>
  <si>
    <t>A. Daily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</si>
  <si>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</si>
  <si>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</si>
  <si>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</si>
  <si>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</si>
  <si>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</si>
  <si>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</si>
  <si>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</si>
  <si>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</si>
  <si>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</si>
  <si>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</si>
  <si>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</si>
  <si>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</si>
  <si>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</si>
  <si>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</si>
  <si>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</si>
  <si>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</si>
  <si>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</si>
  <si>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</si>
  <si>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</si>
  <si>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</si>
  <si>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</si>
  <si>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</si>
  <si>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</si>
  <si>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</si>
  <si>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</si>
  <si>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</si>
  <si>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</si>
  <si>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</si>
  <si>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</si>
  <si>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</si>
  <si>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</si>
  <si>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</si>
  <si>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</si>
  <si>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</si>
  <si>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</si>
  <si>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</si>
  <si>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</si>
  <si>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</si>
  <si>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</si>
  <si>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</si>
  <si>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B. Monthly</t>
  </si>
  <si>
    <t>Months</t>
  </si>
  <si>
    <t>C.Quartely</t>
  </si>
  <si>
    <t>Quarters</t>
  </si>
  <si>
    <t>6. Loan Analysis</t>
  </si>
  <si>
    <t>i. What is the average loan amount per customer, and how does it vary across branches?</t>
  </si>
  <si>
    <t>Customers</t>
  </si>
  <si>
    <t>Average of Loan Amount</t>
  </si>
  <si>
    <t>ii. What percentage of customers are high-risk borrowers based on their credit 
scores?</t>
  </si>
  <si>
    <t>Rating</t>
  </si>
  <si>
    <t>Cutomers</t>
  </si>
  <si>
    <t>Credit Ratings</t>
  </si>
  <si>
    <t>7. Credit Risk</t>
  </si>
  <si>
    <t>i. What is the distribution of customer credit scores, and how does it correlate with loan defaults?</t>
  </si>
  <si>
    <t>Credit Scores</t>
  </si>
  <si>
    <t>Credit Score Distribution</t>
  </si>
  <si>
    <t>Excellent</t>
  </si>
  <si>
    <t>Fair</t>
  </si>
  <si>
    <t>Good</t>
  </si>
  <si>
    <t>Poor</t>
  </si>
  <si>
    <t>Very Good</t>
  </si>
  <si>
    <t xml:space="preserve">Count </t>
  </si>
  <si>
    <t>Credit Score (numbers)</t>
  </si>
  <si>
    <t>Loan Defaulters</t>
  </si>
  <si>
    <t xml:space="preserve">ii. Which account types have the highest percentage of overdue or failed 
transactions? </t>
  </si>
  <si>
    <t>Types</t>
  </si>
  <si>
    <t>Failures</t>
  </si>
  <si>
    <t xml:space="preserve">iii.  How many customers have loans with high-interest rates compared to low
interest rates? </t>
  </si>
  <si>
    <t>Interest Rate</t>
  </si>
  <si>
    <t>Interest Rate(%)</t>
  </si>
  <si>
    <t>High Rate(%)</t>
  </si>
  <si>
    <t>low Rate(%)</t>
  </si>
  <si>
    <t>interest Rate level</t>
  </si>
  <si>
    <t>8. Branch-Level Risk</t>
  </si>
  <si>
    <t xml:space="preserve">i. Which branches have the highest loan default rates? </t>
  </si>
  <si>
    <t xml:space="preserve">loan Default </t>
  </si>
  <si>
    <t>Defaulters</t>
  </si>
  <si>
    <t>Rate(Rating)</t>
  </si>
  <si>
    <t xml:space="preserve">ii. Are specific branches more likely to process high-risk transactions (e.g., large 
loan amounts for low-credit-score customers)? </t>
  </si>
  <si>
    <t>Risk Level</t>
  </si>
  <si>
    <t>Risk</t>
  </si>
  <si>
    <t>9. Branch Performance</t>
  </si>
  <si>
    <t xml:space="preserve">i. How does transaction volume and loan issuance vary across branch codes? </t>
  </si>
  <si>
    <t>Transaction Volume</t>
  </si>
  <si>
    <t>loan issuance</t>
  </si>
  <si>
    <t xml:space="preserve">ii. Are certain branches more efficient in loan disbursement and customer service? </t>
  </si>
  <si>
    <t>level of Efficiency</t>
  </si>
  <si>
    <t>10. Transaction Status</t>
  </si>
  <si>
    <t xml:space="preserve">i. What percentage of transactions are pending, failed, or successful? </t>
  </si>
  <si>
    <t>Transaction status</t>
  </si>
  <si>
    <t>Success Rate</t>
  </si>
  <si>
    <t>ii. How does transaction success rate vary across account types?</t>
  </si>
  <si>
    <t>11. Customer Engagement</t>
  </si>
  <si>
    <t xml:space="preserve">i. How do customer transactions vary over time, and are there patterns indicating 
reduced activity? </t>
  </si>
  <si>
    <t>Transaction</t>
  </si>
  <si>
    <t>ii. Which account types have the highest levels of active customers?</t>
  </si>
  <si>
    <t>Acct Type</t>
  </si>
  <si>
    <t>Income Category</t>
  </si>
  <si>
    <t>12. Loan Repayment</t>
  </si>
  <si>
    <t>ii. Are customers with lower monthly incomes struggling to meet loan repayments?</t>
  </si>
  <si>
    <t>Default</t>
  </si>
  <si>
    <t xml:space="preserve">ii. Does loan repayment behavior differ by employment status? </t>
  </si>
  <si>
    <t>proportion</t>
  </si>
  <si>
    <t>default</t>
  </si>
  <si>
    <t xml:space="preserve">on time </t>
  </si>
  <si>
    <t>13. Product Development</t>
  </si>
  <si>
    <t>i. Should we introduce new account types to cater to specific customer segments 
(e.g., high-income earners or younger demographics)?</t>
  </si>
  <si>
    <t>A.</t>
  </si>
  <si>
    <t>Acc Type</t>
  </si>
  <si>
    <t>High Income</t>
  </si>
  <si>
    <t>Middle Income</t>
  </si>
  <si>
    <t>Low Income</t>
  </si>
  <si>
    <t>Select income Category-&gt;</t>
  </si>
  <si>
    <t>B.</t>
  </si>
  <si>
    <t>Age Demographics</t>
  </si>
  <si>
    <t>Income Demographics</t>
  </si>
  <si>
    <t>Select Age Category-&gt;</t>
  </si>
  <si>
    <t xml:space="preserve">ii. Are there gaps in the market that we can address based on customer income 
levels or account types? </t>
  </si>
  <si>
    <t>Income level</t>
  </si>
  <si>
    <t>Gap by income level</t>
  </si>
  <si>
    <t>Gap by account type</t>
  </si>
  <si>
    <t>ACC type</t>
  </si>
  <si>
    <t>14. Growth Opportunities</t>
  </si>
  <si>
    <t xml:space="preserve">i. Which branches or customer demographics present the most significant 
opportunity for business growth? </t>
  </si>
  <si>
    <t>Top 10 Branches by Revenue</t>
  </si>
  <si>
    <t>Branches</t>
  </si>
  <si>
    <t>Botton 10 Branches by Revenue</t>
  </si>
  <si>
    <t>Branch Analysis</t>
  </si>
  <si>
    <t xml:space="preserve"> Customers Demographics Analysis</t>
  </si>
  <si>
    <t>Select Age Group -&gt;</t>
  </si>
  <si>
    <t>Avg income</t>
  </si>
  <si>
    <t>Avg credit score</t>
  </si>
  <si>
    <t>Avg loan</t>
  </si>
  <si>
    <t>loan Default</t>
  </si>
  <si>
    <t>ii. What transaction types are most popular?</t>
  </si>
  <si>
    <t>15. KPIs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</si>
</sst>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4" formatCode="_(&quot;$&quot;* #,##0.00_);_(&quot;$&quot;* \(#,##0.00\);_(&quot;$&quot;* &quot;-&quot;??_);_(@_)"/>
    <numFmt numFmtId="164" formatCode="_-[$₦-471]\ * #,##0.00_-;\-[$₦-471]\ * #,##0.00_-;_-[$₦-471]\ * &quot;-&quot;??_-;_-@_-"/>
    <numFmt numFmtId="165" formatCode="_-[$₦-471]\ * #,##0_-;\-[$₦-471]\ * #,##0_-;_-[$₦-471]\ * &quot;-&quot;??_-;_-@_-"/>
    <numFmt numFmtId="166" formatCode="_([$€-2]\ * #,##0.00_);_([$€-2]\ * \(#,##0.00\);_([$€-2]\ * &quot;-&quot;??_);_(@_)"/>
    <numFmt numFmtId="167" formatCode="_-[$£-809]* #,##0.00_-;\-[$£-809]* #,##0.00_-;_-[$£-809]* &quot;-&quot;??_-;_-@_-"/>
    <numFmt numFmtId="168" formatCode="_(* #,##0_);_(* \(#,##0\);_(* &quot;-&quot;??_);_(@_)"/>
    <numFmt numFmtId="169" formatCode="0.000"/>
  </numFmts>
  <fonts count="3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4"/>
      <color theme="0"/>
      <name val="Segoe UI Semibold"/>
      <family val="2"/>
    </font>
    <font>
      <b/>
      <sz val="10"/>
      <color theme="1"/>
      <name val="Segoe UI Light"/>
      <family val="2"/>
    </font>
    <font>
      <b/>
      <sz val="12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Segoe UI Semibold"/>
      <family val="2"/>
    </font>
    <font>
      <sz val="10"/>
      <color theme="1"/>
      <name val="Segoe UI Semibold"/>
      <family val="2"/>
    </font>
    <font>
      <sz val="9"/>
      <color theme="1"/>
      <name val="Segoe UI Semibold"/>
      <family val="2"/>
    </font>
    <font>
      <sz val="9"/>
      <color theme="1"/>
      <name val="Aptos Narrow"/>
      <family val="2"/>
      <scheme val="minor"/>
    </font>
    <font>
      <sz val="20"/>
      <color theme="0"/>
      <name val="Segoe UI Black"/>
      <family val="2"/>
    </font>
    <font>
      <sz val="19"/>
      <color theme="0"/>
      <name val="Segoe UI Black"/>
      <family val="2"/>
    </font>
    <font>
      <sz val="22"/>
      <color theme="0"/>
      <name val="Segoe UI Black"/>
      <family val="2"/>
    </font>
    <font>
      <b/>
      <sz val="28"/>
      <color theme="0"/>
      <name val="Segoe UI Black"/>
      <family val="2"/>
    </font>
    <font>
      <b/>
      <sz val="11"/>
      <color theme="1"/>
      <name val="Segoe UI Semibold"/>
      <family val="2"/>
    </font>
    <font>
      <b/>
      <sz val="10"/>
      <color theme="1"/>
      <name val="Segoe UI Semibold"/>
      <family val="2"/>
    </font>
    <font>
      <b/>
      <sz val="11"/>
      <color theme="0"/>
      <name val="Segoe UI Semibold"/>
      <family val="2"/>
    </font>
    <font>
      <sz val="8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32"/>
      <color theme="0"/>
      <name val="Segoe UI Black"/>
      <family val="2"/>
    </font>
    <font>
      <b/>
      <sz val="11"/>
      <color theme="0"/>
      <name val="Segoe UI Semilight"/>
      <family val="2"/>
    </font>
    <font>
      <sz val="19"/>
      <color theme="0"/>
      <name val="Aptos Narrow"/>
      <family val="2"/>
      <scheme val="minor"/>
    </font>
    <font>
      <b/>
      <sz val="9"/>
      <color theme="1"/>
      <name val="Segoe UI Semibold"/>
      <family val="2"/>
    </font>
    <font>
      <sz val="26"/>
      <color theme="0"/>
      <name val="Segoe UI Black"/>
      <family val="2"/>
    </font>
    <font>
      <b/>
      <sz val="10"/>
      <color theme="0"/>
      <name val="Segoe UI Semilight"/>
      <family val="2"/>
    </font>
    <font>
      <sz val="9.5"/>
      <color theme="1"/>
      <name val="Segoe UI Semibold"/>
      <family val="2"/>
    </font>
    <font>
      <b/>
      <sz val="10"/>
      <color theme="0"/>
      <name val="Segoe UI Semibold"/>
      <family val="2"/>
    </font>
    <font>
      <b/>
      <sz val="18"/>
      <color theme="0"/>
      <name val="Aptos Narrow"/>
      <family val="2"/>
      <scheme val="minor"/>
    </font>
    <font>
      <sz val="12"/>
      <color theme="1"/>
      <name val="Segoe UI Semibold"/>
      <family val="2"/>
    </font>
    <font>
      <sz val="22"/>
      <color theme="0"/>
      <name val="Segoe UI Emoji"/>
      <family val="2"/>
    </font>
    <font>
      <sz val="18"/>
      <color theme="0"/>
      <name val="Aptos Narrow"/>
      <family val="2"/>
      <scheme val="minor"/>
    </font>
    <font>
      <sz val="9"/>
      <color theme="0"/>
      <name val="Segoe UI Semibold"/>
      <family val="2"/>
    </font>
    <font>
      <b/>
      <sz val="12"/>
      <color theme="0"/>
      <name val="Aptos Narrow"/>
      <family val="2"/>
      <scheme val="minor"/>
    </font>
    <font>
      <sz val="24"/>
      <color theme="0"/>
      <name val="Segoe UI Black"/>
      <family val="2"/>
    </font>
  </fonts>
  <fills count="2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D0301"/>
        <bgColor indexed="64"/>
      </patternFill>
    </fill>
    <fill>
      <patternFill patternType="solid">
        <fgColor rgb="FF31511E"/>
        <bgColor indexed="64"/>
      </patternFill>
    </fill>
    <fill>
      <patternFill patternType="solid">
        <fgColor rgb="FF674636"/>
        <bgColor indexed="64"/>
      </patternFill>
    </fill>
    <fill>
      <patternFill patternType="solid">
        <fgColor rgb="FF914F1E"/>
        <bgColor indexed="64"/>
      </patternFill>
    </fill>
    <fill>
      <patternFill patternType="solid">
        <fgColor rgb="FF2A004E"/>
        <bgColor indexed="64"/>
      </patternFill>
    </fill>
    <fill>
      <patternFill patternType="solid">
        <fgColor rgb="FFF29F58"/>
        <bgColor indexed="64"/>
      </patternFill>
    </fill>
    <fill>
      <patternFill patternType="solid">
        <fgColor rgb="FF4B5945"/>
        <bgColor indexed="64"/>
      </patternFill>
    </fill>
    <fill>
      <patternFill patternType="solid">
        <fgColor rgb="FFC84C05"/>
        <bgColor indexed="64"/>
      </patternFill>
    </fill>
    <fill>
      <patternFill patternType="solid">
        <fgColor rgb="FF754E1A"/>
        <bgColor indexed="64"/>
      </patternFill>
    </fill>
    <fill>
      <patternFill patternType="solid">
        <fgColor rgb="FF123524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7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164" fontId="0" fillId="0" borderId="0" xfId="1" applyNumberFormat="1" applyFont="1"/>
    <xf numFmtId="49" fontId="0" fillId="0" borderId="0" xfId="0" applyNumberFormat="1"/>
    <xf numFmtId="0" fontId="2" fillId="3" borderId="0" xfId="0" applyFont="1" applyFill="1"/>
    <xf numFmtId="0" fontId="2" fillId="4" borderId="0" xfId="0" applyFont="1" applyFill="1"/>
    <xf numFmtId="0" fontId="0" fillId="0" borderId="0" xfId="0" applyAlignment="1">
      <alignment horizontal="center"/>
    </xf>
    <xf numFmtId="0" fontId="2" fillId="5" borderId="0" xfId="0" applyFont="1" applyFill="1"/>
    <xf numFmtId="0" fontId="2" fillId="6" borderId="0" xfId="0" applyFont="1" applyFill="1"/>
    <xf numFmtId="164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7" fillId="7" borderId="2" xfId="0" applyFont="1" applyFill="1" applyBorder="1"/>
    <xf numFmtId="165" fontId="0" fillId="0" borderId="0" xfId="1" applyNumberFormat="1" applyFont="1"/>
    <xf numFmtId="0" fontId="2" fillId="8" borderId="0" xfId="0" applyFont="1" applyFill="1"/>
    <xf numFmtId="0" fontId="7" fillId="10" borderId="3" xfId="0" applyFont="1" applyFill="1" applyBorder="1"/>
    <xf numFmtId="0" fontId="0" fillId="9" borderId="0" xfId="0" applyFill="1"/>
    <xf numFmtId="0" fontId="7" fillId="0" borderId="1" xfId="0" applyFont="1" applyBorder="1"/>
    <xf numFmtId="0" fontId="7" fillId="10" borderId="0" xfId="0" applyFont="1" applyFill="1"/>
    <xf numFmtId="0" fontId="0" fillId="0" borderId="4" xfId="0" applyBorder="1" applyAlignment="1">
      <alignment horizontal="left"/>
    </xf>
    <xf numFmtId="0" fontId="0" fillId="0" borderId="4" xfId="0" applyBorder="1"/>
    <xf numFmtId="0" fontId="0" fillId="8" borderId="0" xfId="0" applyFill="1"/>
    <xf numFmtId="0" fontId="8" fillId="0" borderId="0" xfId="0" applyFont="1"/>
    <xf numFmtId="0" fontId="9" fillId="0" borderId="0" xfId="0" applyFont="1"/>
    <xf numFmtId="0" fontId="0" fillId="0" borderId="0" xfId="0" pivotButton="1"/>
    <xf numFmtId="0" fontId="0" fillId="0" borderId="0" xfId="0" applyAlignment="1">
      <alignment horizontal="center" vertical="center"/>
    </xf>
    <xf numFmtId="0" fontId="2" fillId="11" borderId="0" xfId="0" applyFont="1" applyFill="1"/>
    <xf numFmtId="44" fontId="0" fillId="0" borderId="0" xfId="1" applyFont="1"/>
    <xf numFmtId="164" fontId="0" fillId="0" borderId="0" xfId="1" applyNumberFormat="1" applyFont="1" applyBorder="1"/>
    <xf numFmtId="164" fontId="7" fillId="0" borderId="5" xfId="0" applyNumberFormat="1" applyFont="1" applyBorder="1"/>
    <xf numFmtId="0" fontId="19" fillId="0" borderId="0" xfId="0" applyFont="1"/>
    <xf numFmtId="0" fontId="21" fillId="8" borderId="0" xfId="0" applyFont="1" applyFill="1"/>
    <xf numFmtId="166" fontId="0" fillId="0" borderId="0" xfId="1" applyNumberFormat="1" applyFont="1"/>
    <xf numFmtId="167" fontId="0" fillId="0" borderId="0" xfId="0" applyNumberFormat="1"/>
    <xf numFmtId="0" fontId="0" fillId="0" borderId="0" xfId="0" applyAlignment="1">
      <alignment horizontal="left" vertical="center"/>
    </xf>
    <xf numFmtId="0" fontId="21" fillId="13" borderId="0" xfId="0" applyFont="1" applyFill="1"/>
    <xf numFmtId="0" fontId="25" fillId="14" borderId="0" xfId="0" applyFont="1" applyFill="1"/>
    <xf numFmtId="0" fontId="0" fillId="0" borderId="1" xfId="0" applyBorder="1"/>
    <xf numFmtId="0" fontId="21" fillId="15" borderId="0" xfId="0" applyFont="1" applyFill="1"/>
    <xf numFmtId="168" fontId="0" fillId="0" borderId="0" xfId="0" applyNumberFormat="1"/>
    <xf numFmtId="0" fontId="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15" borderId="0" xfId="0" applyFont="1" applyFill="1"/>
    <xf numFmtId="9" fontId="0" fillId="0" borderId="0" xfId="0" applyNumberFormat="1"/>
    <xf numFmtId="0" fontId="2" fillId="15" borderId="0" xfId="0" applyFont="1" applyFill="1" applyAlignment="1">
      <alignment horizontal="left"/>
    </xf>
    <xf numFmtId="0" fontId="2" fillId="12" borderId="0" xfId="0" applyFont="1" applyFill="1" applyAlignment="1">
      <alignment horizontal="center" vertical="center"/>
    </xf>
    <xf numFmtId="0" fontId="11" fillId="0" borderId="1" xfId="0" applyFont="1" applyBorder="1"/>
    <xf numFmtId="0" fontId="23" fillId="0" borderId="1" xfId="0" applyFont="1" applyBorder="1"/>
    <xf numFmtId="0" fontId="2" fillId="16" borderId="0" xfId="0" applyFont="1" applyFill="1"/>
    <xf numFmtId="0" fontId="21" fillId="16" borderId="0" xfId="0" applyFont="1" applyFill="1"/>
    <xf numFmtId="0" fontId="2" fillId="17" borderId="0" xfId="0" applyFont="1" applyFill="1"/>
    <xf numFmtId="169" fontId="0" fillId="0" borderId="0" xfId="0" applyNumberFormat="1"/>
    <xf numFmtId="0" fontId="21" fillId="18" borderId="0" xfId="0" applyFont="1" applyFill="1"/>
    <xf numFmtId="0" fontId="29" fillId="19" borderId="0" xfId="0" applyFont="1" applyFill="1"/>
    <xf numFmtId="0" fontId="21" fillId="20" borderId="0" xfId="0" applyFont="1" applyFill="1"/>
    <xf numFmtId="0" fontId="30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31" fillId="20" borderId="0" xfId="0" applyFont="1" applyFill="1"/>
    <xf numFmtId="9" fontId="0" fillId="0" borderId="0" xfId="2" applyFont="1"/>
    <xf numFmtId="0" fontId="11" fillId="0" borderId="0" xfId="0" applyFont="1" applyAlignment="1">
      <alignment horizontal="center" vertical="center" wrapText="1"/>
    </xf>
    <xf numFmtId="0" fontId="32" fillId="17" borderId="0" xfId="0" applyFont="1" applyFill="1"/>
    <xf numFmtId="0" fontId="7" fillId="0" borderId="0" xfId="0" applyFont="1"/>
    <xf numFmtId="0" fontId="21" fillId="17" borderId="0" xfId="0" applyFont="1" applyFill="1"/>
    <xf numFmtId="0" fontId="35" fillId="21" borderId="0" xfId="0" applyFont="1" applyFill="1"/>
    <xf numFmtId="0" fontId="33" fillId="0" borderId="0" xfId="0" applyFont="1" applyAlignment="1">
      <alignment horizontal="center"/>
    </xf>
    <xf numFmtId="0" fontId="2" fillId="21" borderId="0" xfId="0" applyFont="1" applyFill="1"/>
    <xf numFmtId="0" fontId="7" fillId="4" borderId="0" xfId="0" applyFont="1" applyFill="1"/>
    <xf numFmtId="0" fontId="18" fillId="2" borderId="0" xfId="0" applyFont="1" applyFill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7" fillId="8" borderId="0" xfId="0" applyFont="1" applyFill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7" fillId="2" borderId="0" xfId="0" applyFont="1" applyFill="1" applyAlignment="1">
      <alignment horizontal="left" vertical="center"/>
    </xf>
    <xf numFmtId="0" fontId="16" fillId="2" borderId="0" xfId="0" applyFont="1" applyFill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6" fillId="12" borderId="0" xfId="0" applyFont="1" applyFill="1" applyAlignment="1">
      <alignment horizontal="left" vertical="center"/>
    </xf>
    <xf numFmtId="0" fontId="15" fillId="12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4" fillId="13" borderId="0" xfId="0" applyFont="1" applyFill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17" fillId="15" borderId="0" xfId="0" applyFont="1" applyFill="1" applyAlignment="1">
      <alignment horizontal="left"/>
    </xf>
    <xf numFmtId="0" fontId="1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horizontal="center" wrapText="1"/>
    </xf>
    <xf numFmtId="0" fontId="7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16" fillId="16" borderId="0" xfId="0" applyFont="1" applyFill="1" applyAlignment="1">
      <alignment horizontal="left"/>
    </xf>
    <xf numFmtId="0" fontId="26" fillId="16" borderId="0" xfId="0" applyFont="1" applyFill="1" applyAlignment="1">
      <alignment horizontal="left"/>
    </xf>
    <xf numFmtId="0" fontId="13" fillId="0" borderId="1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2" fillId="0" borderId="0" xfId="0" applyFont="1" applyAlignment="1">
      <alignment horizontal="right" vertical="center"/>
    </xf>
    <xf numFmtId="0" fontId="28" fillId="17" borderId="0" xfId="0" applyFont="1" applyFill="1" applyAlignment="1">
      <alignment horizontal="left"/>
    </xf>
    <xf numFmtId="0" fontId="12" fillId="0" borderId="0" xfId="0" applyFont="1" applyAlignment="1">
      <alignment vertical="center"/>
    </xf>
    <xf numFmtId="0" fontId="17" fillId="18" borderId="0" xfId="0" applyFont="1" applyFill="1" applyAlignment="1">
      <alignment horizontal="left" vertic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5" fillId="19" borderId="0" xfId="0" applyFont="1" applyFill="1" applyAlignment="1">
      <alignment horizontal="left" vertical="center"/>
    </xf>
    <xf numFmtId="0" fontId="12" fillId="0" borderId="0" xfId="0" applyFont="1" applyAlignment="1">
      <alignment horizontal="center" wrapText="1"/>
    </xf>
    <xf numFmtId="0" fontId="17" fillId="20" borderId="0" xfId="0" applyFont="1" applyFill="1" applyAlignment="1">
      <alignment horizontal="left" vertical="center"/>
    </xf>
    <xf numFmtId="0" fontId="30" fillId="0" borderId="0" xfId="0" applyFont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7" fillId="17" borderId="0" xfId="0" applyFont="1" applyFill="1" applyAlignment="1">
      <alignment horizontal="left" vertical="center"/>
    </xf>
    <xf numFmtId="0" fontId="11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37" fillId="21" borderId="0" xfId="0" applyFont="1" applyFill="1" applyAlignment="1">
      <alignment horizontal="center"/>
    </xf>
    <xf numFmtId="0" fontId="33" fillId="0" borderId="1" xfId="0" applyFont="1" applyBorder="1" applyAlignment="1">
      <alignment horizontal="center"/>
    </xf>
    <xf numFmtId="0" fontId="17" fillId="21" borderId="0" xfId="0" applyFont="1" applyFill="1" applyAlignment="1">
      <alignment horizontal="left"/>
    </xf>
    <xf numFmtId="0" fontId="34" fillId="21" borderId="0" xfId="0" applyFont="1" applyFill="1" applyAlignment="1">
      <alignment horizontal="left"/>
    </xf>
    <xf numFmtId="0" fontId="20" fillId="0" borderId="0" xfId="0" applyFont="1" applyAlignment="1">
      <alignment horizontal="center" vertical="center" wrapText="1"/>
    </xf>
    <xf numFmtId="0" fontId="36" fillId="21" borderId="0" xfId="0" applyFont="1" applyFill="1" applyAlignment="1">
      <alignment horizontal="center"/>
    </xf>
    <xf numFmtId="0" fontId="38" fillId="22" borderId="0" xfId="0" applyFont="1" applyFill="1" applyAlignment="1">
      <alignment horizontal="left"/>
    </xf>
    <xf numFmtId="0" fontId="5" fillId="0" borderId="0" xfId="0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95"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rgb="FF754E1A"/>
        </patternFill>
      </fill>
    </dxf>
    <dxf>
      <fill>
        <patternFill patternType="solid">
          <bgColor rgb="FF754E1A"/>
        </patternFill>
      </fill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rgb="FF754E1A"/>
        </patternFill>
      </fill>
    </dxf>
    <dxf>
      <fill>
        <patternFill patternType="solid">
          <bgColor rgb="FF754E1A"/>
        </patternFill>
      </fill>
    </dxf>
    <dxf>
      <numFmt numFmtId="0" formatCode="General"/>
    </dxf>
    <dxf>
      <font>
        <b/>
        <color theme="0"/>
      </font>
      <fill>
        <patternFill patternType="solid">
          <fgColor indexed="64"/>
          <bgColor rgb="FF2A004E"/>
        </patternFill>
      </fill>
    </dxf>
    <dxf>
      <font>
        <b/>
        <color theme="0"/>
      </font>
      <fill>
        <patternFill patternType="solid">
          <fgColor indexed="64"/>
          <bgColor rgb="FF2A004E"/>
        </patternFill>
      </fill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674636"/>
        </patternFill>
      </fill>
    </dxf>
    <dxf>
      <fill>
        <patternFill>
          <bgColor rgb="FF674636"/>
        </patternFill>
      </fill>
    </dxf>
    <dxf>
      <fill>
        <patternFill>
          <bgColor rgb="FF674636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  <dxf>
      <font>
        <color theme="0"/>
      </font>
    </dxf>
    <dxf>
      <font>
        <b/>
      </font>
    </dxf>
    <dxf>
      <font>
        <color theme="0"/>
      </font>
    </dxf>
    <dxf>
      <fill>
        <patternFill patternType="solid">
          <bgColor rgb="FF674636"/>
        </patternFill>
      </fill>
    </dxf>
    <dxf>
      <fill>
        <patternFill patternType="solid">
          <bgColor rgb="FF674636"/>
        </patternFill>
      </fill>
    </dxf>
    <dxf>
      <numFmt numFmtId="168" formatCode="_(* #,##0_);_(* \(#,##0\);_(* &quot;-&quot;??_);_(@_)"/>
    </dxf>
    <dxf>
      <numFmt numFmtId="165" formatCode="_-[$₦-471]\ * #,##0_-;\-[$₦-471]\ * #,##0_-;_-[$₦-471]\ * &quot;-&quot;??_-;_-@_-"/>
    </dxf>
    <dxf>
      <numFmt numFmtId="165" formatCode="_-[$₦-471]\ * #,##0_-;\-[$₦-471]\ * #,##0_-;_-[$₦-471]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-[$₦-471]\ * #,##0_-;\-[$₦-471]\ * #,##0_-;_-[$₦-471]\ * &quot;-&quot;??_-;_-@_-"/>
    </dxf>
    <dxf>
      <numFmt numFmtId="165" formatCode="_-[$₦-471]\ * #,##0_-;\-[$₦-471]\ * #,##0_-;_-[$₦-471]\ * &quot;-&quot;??_-;_-@_-"/>
    </dxf>
    <dxf>
      <numFmt numFmtId="165" formatCode="_-[$₦-471]\ * #,##0_-;\-[$₦-471]\ * #,##0_-;_-[$₦-471]\ * &quot;-&quot;??_-;_-@_-"/>
    </dxf>
    <dxf>
      <numFmt numFmtId="165" formatCode="_-[$₦-471]\ * #,##0_-;\-[$₦-471]\ * #,##0_-;_-[$₦-471]\ * &quot;-&quot;??_-;_-@_-"/>
    </dxf>
    <dxf>
      <numFmt numFmtId="1" formatCode="0"/>
    </dxf>
    <dxf>
      <numFmt numFmtId="1" formatCode="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164" formatCode="_-[$₦-471]\ * #,##0.00_-;\-[$₦-471]\ * #,##0.00_-;_-[$₦-471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[$₦-471]\ * #,##0.00_-;\-[$₦-471]\ * #,##0.00_-;_-[$₦-471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[$₦-471]\ * #,##0.00_-;\-[$₦-471]\ * #,##0.00_-;_-[$₦-471]\ * &quot;-&quot;??_-;_-@_-"/>
    </dxf>
    <dxf>
      <numFmt numFmtId="164" formatCode="_-[$₦-471]\ * #,##0.00_-;\-[$₦-471]\ * #,##0.00_-;_-[$₦-471]\ * &quot;-&quot;??_-;_-@_-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[$₦-471]\ * #,##0.00_-;\-[$₦-471]\ * #,##0.00_-;_-[$₦-471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[$₦-471]\ * #,##0.00_-;\-[$₦-471]\ * #,##0.00_-;_-[$₦-471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[$₦-471]\ * #,##0.00_-;\-[$₦-471]\ * #,##0.00_-;_-[$₦-471]\ * &quot;-&quot;??_-;_-@_-"/>
    </dxf>
    <dxf>
      <numFmt numFmtId="164" formatCode="_-[$₦-471]\ * #,##0.00_-;\-[$₦-471]\ * #,##0.00_-;_-[$₦-471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[$₦-471]\ * #,##0.00_-;\-[$₦-471]\ * #,##0.00_-;_-[$₦-471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[$₦-471]\ * #,##0.00_-;\-[$₦-471]\ * #,##0.00_-;_-[$₦-471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_-[$₦-471]\ * #,##0.00_-;\-[$₦-471]\ * #,##0.00_-;_-[$₦-471]\ * &quot;-&quot;??_-;_-@_-"/>
    </dxf>
    <dxf>
      <numFmt numFmtId="164" formatCode="_-[$₦-471]\ * #,##0.00_-;\-[$₦-471]\ * #,##0.00_-;_-[$₦-471]\ * &quot;-&quot;??_-;_-@_-"/>
    </dxf>
    <dxf>
      <numFmt numFmtId="30" formatCode="@"/>
    </dxf>
    <dxf>
      <numFmt numFmtId="30" formatCode="@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ont>
        <color rgb="FF3A1078"/>
      </font>
    </dxf>
  </dxfs>
  <tableStyles count="1" defaultTableStyle="TableStyleMedium2" defaultPivotStyle="PivotStyleLight16">
    <tableStyle name="PivotTable Style 1" table="0" count="1" xr9:uid="{E1FD3C56-C0FB-4F0B-A1B8-96597B451A4B}">
      <tableStyleElement type="wholeTable" dxfId="94"/>
    </tableStyle>
  </tableStyles>
  <colors>
    <mruColors>
      <color rgb="FF123524"/>
      <color rgb="FF754E1A"/>
      <color rgb="FF131010"/>
      <color rgb="FF2A004E"/>
      <color rgb="FFC84C05"/>
      <color rgb="FF8D0B41"/>
      <color rgb="FF000000"/>
      <color rgb="FF4B5945"/>
      <color rgb="FFF29F58"/>
      <color rgb="FF5CB33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000" b="1">
                <a:latin typeface="Segoe UI Light" panose="020B0502040204020203" pitchFamily="34" charset="0"/>
                <a:cs typeface="Segoe UI Light" panose="020B0502040204020203" pitchFamily="34" charset="0"/>
              </a:rPr>
              <a:t>Categories</a:t>
            </a:r>
            <a:r>
              <a:rPr lang="en-US" sz="1000" b="1" baseline="0">
                <a:latin typeface="Segoe UI Light" panose="020B0502040204020203" pitchFamily="34" charset="0"/>
                <a:cs typeface="Segoe UI Light" panose="020B0502040204020203" pitchFamily="34" charset="0"/>
              </a:rPr>
              <a:t> with highest Customers?</a:t>
            </a:r>
            <a:endParaRPr lang="en-US" sz="1000" b="1">
              <a:latin typeface="Segoe UI Light" panose="020B0502040204020203" pitchFamily="34" charset="0"/>
              <a:cs typeface="Segoe UI Light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'1. Customer Segmentation'!$C$18</c:f>
              <c:strCache>
                <c:ptCount val="1"/>
                <c:pt idx="0">
                  <c:v>Cutomers 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D2C-4AB4-802C-B58DF11187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D2C-4AB4-802C-B58DF11187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D2C-4AB4-802C-B58DF11187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D2C-4AB4-802C-B58DF11187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D2C-4AB4-802C-B58DF11187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'1. Customer Segmentation'!$B$19:$B$23</c:f>
              <c:strCache>
                <c:ptCount val="5"/>
                <c:pt idx="0">
                  <c:v>Adults</c:v>
                </c:pt>
                <c:pt idx="1">
                  <c:v>Middle-Aged</c:v>
                </c:pt>
                <c:pt idx="2">
                  <c:v>Older Adults</c:v>
                </c:pt>
                <c:pt idx="3">
                  <c:v>Seniors</c:v>
                </c:pt>
                <c:pt idx="4">
                  <c:v>Young Adults</c:v>
                </c:pt>
              </c:strCache>
            </c:strRef>
          </c:cat>
          <c:val>
            <c:numRef>
              <c:f>'1. Customer Segmentation'!$C$19:$C$23</c:f>
              <c:numCache>
                <c:formatCode>General</c:formatCode>
                <c:ptCount val="5"/>
                <c:pt idx="0">
                  <c:v>213</c:v>
                </c:pt>
                <c:pt idx="1">
                  <c:v>196</c:v>
                </c:pt>
                <c:pt idx="2">
                  <c:v>268</c:v>
                </c:pt>
                <c:pt idx="3">
                  <c:v>166</c:v>
                </c:pt>
                <c:pt idx="4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6-45AB-84EF-6999F32C7F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0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0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Employee Gender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0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'1. Customer Segmentation'!$C$33</c:f>
              <c:strCache>
                <c:ptCount val="1"/>
                <c:pt idx="0">
                  <c:v>Cutomers 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1BB6-413C-9869-D00FBF766F7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1BB6-413C-9869-D00FBF766F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'1. Customer Segmentation'!$B$34:$B$35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'1. Customer Segmentation'!$C$34:$C$35</c:f>
              <c:numCache>
                <c:formatCode>General</c:formatCode>
                <c:ptCount val="2"/>
                <c:pt idx="0">
                  <c:v>504</c:v>
                </c:pt>
                <c:pt idx="1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3-4153-811B-0E08D7757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0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Loan Distribution by Age Group</a:t>
            </a:r>
          </a:p>
        </c:rich>
      </c:tx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 Customer Segmentation'!$S$70:$S$74</c:f>
              <c:strCache>
                <c:ptCount val="5"/>
                <c:pt idx="0">
                  <c:v>Older Adults</c:v>
                </c:pt>
                <c:pt idx="1">
                  <c:v>Adults</c:v>
                </c:pt>
                <c:pt idx="2">
                  <c:v>Middle-Aged</c:v>
                </c:pt>
                <c:pt idx="3">
                  <c:v>Seniors</c:v>
                </c:pt>
                <c:pt idx="4">
                  <c:v>Young Adults</c:v>
                </c:pt>
              </c:strCache>
            </c:strRef>
          </c:cat>
          <c:val>
            <c:numRef>
              <c:f>'1. Customer Segmentation'!$T$70:$T$74</c:f>
              <c:numCache>
                <c:formatCode>0.00%</c:formatCode>
                <c:ptCount val="5"/>
                <c:pt idx="0">
                  <c:v>0.26800000000000002</c:v>
                </c:pt>
                <c:pt idx="1">
                  <c:v>0.21299999999999999</c:v>
                </c:pt>
                <c:pt idx="2">
                  <c:v>0.19600000000000001</c:v>
                </c:pt>
                <c:pt idx="3">
                  <c:v>0.16600000000000001</c:v>
                </c:pt>
                <c:pt idx="4">
                  <c:v>0.157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2-45FF-A72E-5E0E94D2B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1499392"/>
        <c:axId val="201492672"/>
      </c:barChart>
      <c:catAx>
        <c:axId val="20149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/>
          </a:p>
        </c:txPr>
        <c:crossAx val="201492672"/>
        <c:crosses val="autoZero"/>
        <c:auto val="1"/>
        <c:lblAlgn val="ctr"/>
        <c:lblOffset val="100"/>
        <c:noMultiLvlLbl val="0"/>
      </c:catAx>
      <c:valAx>
        <c:axId val="201492672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20149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000" b="1" i="0" u="none" strike="noStrike" kern="1200" cap="all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r>
              <a:rPr lang="en-US" sz="10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Average Monthly Income by Account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000" b="1" i="0" u="none" strike="noStrike" kern="1200" cap="all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'1. Customer Segmentation'!$B$86</c:f>
              <c:strCache>
                <c:ptCount val="1"/>
                <c:pt idx="0">
                  <c:v>Checking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000" b="1" i="0" u="none" strike="noStrike" kern="1200" cap="all" spc="100" baseline="0">
                    <a:solidFill>
                      <a:schemeClr val="tx1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 Customer Segmentation'!$C$85</c:f>
              <c:strCache>
                <c:ptCount val="1"/>
                <c:pt idx="0">
                  <c:v>Income</c:v>
                </c:pt>
              </c:strCache>
            </c:strRef>
          </c:cat>
          <c:val>
            <c:numRef>
              <c:f>'1. Customer Segmentation'!$C$86</c:f>
              <c:numCache>
                <c:formatCode>_-[$₦-471]\ * #,##0_-;\-[$₦-471]\ * #,##0_-;_-[$₦-471]\ * "-"??_-;_-@_-</c:formatCode>
                <c:ptCount val="1"/>
                <c:pt idx="0">
                  <c:v>8654.1474202898517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E-4609-984D-89C2C54066C4}"/>
            </c:ext>
          </c:extLst>
        </c:ser>
        <c:ser>
          <c:idx val="1"/>
          <c:order val="1"/>
          <c:tx>
            <c:strRef>
              <c:f>'1. Customer Segmentation'!$B$87</c:f>
              <c:strCache>
                <c:ptCount val="1"/>
                <c:pt idx="0">
                  <c:v>Credit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000" b="1" i="0" u="none" strike="noStrike" kern="1200" cap="all" spc="100" baseline="0">
                    <a:solidFill>
                      <a:schemeClr val="tx1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 Customer Segmentation'!$C$85</c:f>
              <c:strCache>
                <c:ptCount val="1"/>
                <c:pt idx="0">
                  <c:v>Income</c:v>
                </c:pt>
              </c:strCache>
            </c:strRef>
          </c:cat>
          <c:val>
            <c:numRef>
              <c:f>'1. Customer Segmentation'!$C$87</c:f>
              <c:numCache>
                <c:formatCode>_-[$₦-471]\ * #,##0_-;\-[$₦-471]\ * #,##0_-;_-[$₦-471]\ * "-"??_-;_-@_-</c:formatCode>
                <c:ptCount val="1"/>
                <c:pt idx="0">
                  <c:v>8587.2942274052493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4E-4609-984D-89C2C54066C4}"/>
            </c:ext>
          </c:extLst>
        </c:ser>
        <c:ser>
          <c:idx val="2"/>
          <c:order val="2"/>
          <c:tx>
            <c:strRef>
              <c:f>'1. Customer Segmentation'!$B$88</c:f>
              <c:strCache>
                <c:ptCount val="1"/>
                <c:pt idx="0">
                  <c:v>Savings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000" b="1" i="0" u="none" strike="noStrike" kern="1200" cap="all" spc="100" baseline="0">
                    <a:solidFill>
                      <a:schemeClr val="tx1"/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 Customer Segmentation'!$C$85</c:f>
              <c:strCache>
                <c:ptCount val="1"/>
                <c:pt idx="0">
                  <c:v>Income</c:v>
                </c:pt>
              </c:strCache>
            </c:strRef>
          </c:cat>
          <c:val>
            <c:numRef>
              <c:f>'1. Customer Segmentation'!$C$88</c:f>
              <c:numCache>
                <c:formatCode>_-[$₦-471]\ * #,##0_-;\-[$₦-471]\ * #,##0_-;_-[$₦-471]\ * "-"??_-;_-@_-</c:formatCode>
                <c:ptCount val="1"/>
                <c:pt idx="0">
                  <c:v>7918.9898397435927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4E-4609-984D-89C2C54066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1168541855"/>
        <c:axId val="1168550015"/>
      </c:barChart>
      <c:catAx>
        <c:axId val="11685418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68550015"/>
        <c:crosses val="autoZero"/>
        <c:auto val="1"/>
        <c:lblAlgn val="ctr"/>
        <c:lblOffset val="100"/>
        <c:noMultiLvlLbl val="0"/>
      </c:catAx>
      <c:valAx>
        <c:axId val="1168550015"/>
        <c:scaling>
          <c:orientation val="minMax"/>
        </c:scaling>
        <c:delete val="1"/>
        <c:axPos val="b"/>
        <c:numFmt formatCode="_-[$₦-471]\ * #,##0_-;\-[$₦-471]\ * #,##0_-;_-[$₦-471]\ * &quot;-&quot;??_-;_-@_-" sourceLinked="1"/>
        <c:majorTickMark val="out"/>
        <c:minorTickMark val="none"/>
        <c:tickLblPos val="nextTo"/>
        <c:crossAx val="1168541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</a:t>
            </a:r>
            <a:r>
              <a:rPr lang="en-US" sz="10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t>Customers</a:t>
            </a:r>
            <a:r>
              <a:rPr lang="en-US" baseline="0"/>
              <a:t> by Transaction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 Customer Activity'!$F$17:$F$21</c:f>
              <c:strCache>
                <c:ptCount val="5"/>
                <c:pt idx="0">
                  <c:v>John Doe</c:v>
                </c:pt>
                <c:pt idx="1">
                  <c:v>Alice Johnson</c:v>
                </c:pt>
                <c:pt idx="2">
                  <c:v>Carol White</c:v>
                </c:pt>
                <c:pt idx="3">
                  <c:v>Jane Smith</c:v>
                </c:pt>
                <c:pt idx="4">
                  <c:v>Bob Brown</c:v>
                </c:pt>
              </c:strCache>
            </c:strRef>
          </c:cat>
          <c:val>
            <c:numRef>
              <c:f>'2. Customer Activity'!$G$17:$G$21</c:f>
              <c:numCache>
                <c:formatCode>General</c:formatCode>
                <c:ptCount val="5"/>
                <c:pt idx="0">
                  <c:v>205</c:v>
                </c:pt>
                <c:pt idx="1">
                  <c:v>205</c:v>
                </c:pt>
                <c:pt idx="2">
                  <c:v>204</c:v>
                </c:pt>
                <c:pt idx="3">
                  <c:v>199</c:v>
                </c:pt>
                <c:pt idx="4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5-4551-98AB-53E71D7FC0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68547135"/>
        <c:axId val="1168555295"/>
      </c:barChart>
      <c:catAx>
        <c:axId val="116854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555295"/>
        <c:crosses val="autoZero"/>
        <c:auto val="1"/>
        <c:lblAlgn val="ctr"/>
        <c:lblOffset val="100"/>
        <c:noMultiLvlLbl val="0"/>
      </c:catAx>
      <c:valAx>
        <c:axId val="11685552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68547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[Analysed.xlsx]2. Customer Activity!PivotTable2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Highest transaction by type?</a:t>
            </a:r>
          </a:p>
        </c:rich>
      </c:tx>
      <c:layout>
        <c:manualLayout>
          <c:xMode val="edge"/>
          <c:yMode val="edge"/>
          <c:x val="0.21841074308811248"/>
          <c:y val="7.4420376240415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'2. Customer Activity'!$C$31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76-44F0-A572-444D166CB1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76-44F0-A572-444D166CB1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76-44F0-A572-444D166CB1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476-44F0-A572-444D166CB1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'2. Customer Activity'!$B$32:$B$35</c:f>
              <c:strCache>
                <c:ptCount val="4"/>
                <c:pt idx="0">
                  <c:v>Deposit</c:v>
                </c:pt>
                <c:pt idx="1">
                  <c:v>Payment</c:v>
                </c:pt>
                <c:pt idx="2">
                  <c:v>Transfer</c:v>
                </c:pt>
                <c:pt idx="3">
                  <c:v>Withdrawal</c:v>
                </c:pt>
              </c:strCache>
            </c:strRef>
          </c:cat>
          <c:val>
            <c:numRef>
              <c:f>'2. Customer Activity'!$C$32:$C$35</c:f>
              <c:numCache>
                <c:formatCode>General</c:formatCode>
                <c:ptCount val="4"/>
                <c:pt idx="0">
                  <c:v>242</c:v>
                </c:pt>
                <c:pt idx="1">
                  <c:v>273</c:v>
                </c:pt>
                <c:pt idx="2">
                  <c:v>224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7-4571-8F15-258F5CA9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[Analysed.xlsx]2. Customer Activity!PivotTable4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Branch with highest traffic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Customer Activity'!$C$49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 Customer Activity'!$B$50:$B$74</c:f>
              <c:strCache>
                <c:ptCount val="25"/>
                <c:pt idx="0">
                  <c:v>BR882</c:v>
                </c:pt>
                <c:pt idx="1">
                  <c:v>BR455</c:v>
                </c:pt>
                <c:pt idx="2">
                  <c:v>BR722</c:v>
                </c:pt>
                <c:pt idx="3">
                  <c:v>BR416</c:v>
                </c:pt>
                <c:pt idx="4">
                  <c:v>BR619</c:v>
                </c:pt>
                <c:pt idx="5">
                  <c:v>BR807</c:v>
                </c:pt>
                <c:pt idx="6">
                  <c:v>BR716</c:v>
                </c:pt>
                <c:pt idx="7">
                  <c:v>BR667</c:v>
                </c:pt>
                <c:pt idx="8">
                  <c:v>BR204</c:v>
                </c:pt>
                <c:pt idx="9">
                  <c:v>BR780</c:v>
                </c:pt>
                <c:pt idx="10">
                  <c:v>BR464</c:v>
                </c:pt>
                <c:pt idx="11">
                  <c:v>BR203</c:v>
                </c:pt>
                <c:pt idx="12">
                  <c:v>BR541</c:v>
                </c:pt>
                <c:pt idx="13">
                  <c:v>BR684</c:v>
                </c:pt>
                <c:pt idx="14">
                  <c:v>BR563</c:v>
                </c:pt>
                <c:pt idx="15">
                  <c:v>BR398</c:v>
                </c:pt>
                <c:pt idx="16">
                  <c:v>BR842</c:v>
                </c:pt>
                <c:pt idx="17">
                  <c:v>BR801</c:v>
                </c:pt>
                <c:pt idx="18">
                  <c:v>BR352</c:v>
                </c:pt>
                <c:pt idx="19">
                  <c:v>BR834</c:v>
                </c:pt>
                <c:pt idx="20">
                  <c:v>BR172</c:v>
                </c:pt>
                <c:pt idx="21">
                  <c:v>BR659</c:v>
                </c:pt>
                <c:pt idx="22">
                  <c:v>BR918</c:v>
                </c:pt>
                <c:pt idx="23">
                  <c:v>BR621</c:v>
                </c:pt>
                <c:pt idx="24">
                  <c:v>BR649</c:v>
                </c:pt>
              </c:strCache>
            </c:strRef>
          </c:cat>
          <c:val>
            <c:numRef>
              <c:f>'2. Customer Activity'!$C$50:$C$74</c:f>
              <c:numCache>
                <c:formatCode>General</c:formatCode>
                <c:ptCount val="25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A-4D08-A54B-D80666A8CD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7615599"/>
        <c:axId val="277591599"/>
      </c:barChart>
      <c:catAx>
        <c:axId val="27761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91599"/>
        <c:crosses val="autoZero"/>
        <c:auto val="1"/>
        <c:lblAlgn val="ctr"/>
        <c:lblOffset val="100"/>
        <c:noMultiLvlLbl val="0"/>
      </c:catAx>
      <c:valAx>
        <c:axId val="2775915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7761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[Analysed.xlsx]3. Retention and Loyalty!PivotTable5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'3. Retention and Loyalty'!$C$13:$C$14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 Retention and Loyalty'!$B$15:$B$19</c:f>
              <c:strCache>
                <c:ptCount val="5"/>
                <c:pt idx="0">
                  <c:v>Alice Johnson</c:v>
                </c:pt>
                <c:pt idx="1">
                  <c:v>Bob Brown</c:v>
                </c:pt>
                <c:pt idx="2">
                  <c:v>Carol White</c:v>
                </c:pt>
                <c:pt idx="3">
                  <c:v>Jane Smith</c:v>
                </c:pt>
                <c:pt idx="4">
                  <c:v>John Doe</c:v>
                </c:pt>
              </c:strCache>
            </c:strRef>
          </c:cat>
          <c:val>
            <c:numRef>
              <c:f>'3. Retention and Loyalty'!$C$15:$C$19</c:f>
              <c:numCache>
                <c:formatCode>_-[$₦-471]\ * #,##0.00_-;\-[$₦-471]\ * #,##0.00_-;_-[$₦-471]\ * "-"??_-;_-@_-</c:formatCode>
                <c:ptCount val="5"/>
                <c:pt idx="0">
                  <c:v>778112.9600000002</c:v>
                </c:pt>
                <c:pt idx="1">
                  <c:v>728464.48999999964</c:v>
                </c:pt>
                <c:pt idx="2">
                  <c:v>793903.43000000028</c:v>
                </c:pt>
                <c:pt idx="3">
                  <c:v>778305.18</c:v>
                </c:pt>
                <c:pt idx="4">
                  <c:v>902717.00999999989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0-4702-9AC0-9AA0959B3597}"/>
            </c:ext>
          </c:extLst>
        </c:ser>
        <c:ser>
          <c:idx val="1"/>
          <c:order val="1"/>
          <c:tx>
            <c:strRef>
              <c:f>'3. Retention and Loyalty'!$D$13:$D$14</c:f>
              <c:strCache>
                <c:ptCount val="1"/>
                <c:pt idx="0">
                  <c:v>Not 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'3. Retention and Loyalty'!$B$15:$B$19</c:f>
              <c:strCache>
                <c:ptCount val="5"/>
                <c:pt idx="0">
                  <c:v>Alice Johnson</c:v>
                </c:pt>
                <c:pt idx="1">
                  <c:v>Bob Brown</c:v>
                </c:pt>
                <c:pt idx="2">
                  <c:v>Carol White</c:v>
                </c:pt>
                <c:pt idx="3">
                  <c:v>Jane Smith</c:v>
                </c:pt>
                <c:pt idx="4">
                  <c:v>John Doe</c:v>
                </c:pt>
              </c:strCache>
            </c:strRef>
          </c:cat>
          <c:val>
            <c:numRef>
              <c:f>'3. Retention and Loyalty'!$D$15:$D$19</c:f>
              <c:numCache>
                <c:formatCode>_-[$₦-471]\ * #,##0.00_-;\-[$₦-471]\ * #,##0.00_-;_-[$₦-471]\ * "-"??_-;_-@_-</c:formatCode>
                <c:ptCount val="5"/>
                <c:pt idx="0">
                  <c:v>4343315.8100000005</c:v>
                </c:pt>
                <c:pt idx="1">
                  <c:v>4097139.6500000008</c:v>
                </c:pt>
                <c:pt idx="2">
                  <c:v>4728342.129999999</c:v>
                </c:pt>
                <c:pt idx="3">
                  <c:v>4179413.06</c:v>
                </c:pt>
                <c:pt idx="4">
                  <c:v>4241288.8199999984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30-4702-9AC0-9AA0959B3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144015"/>
        <c:axId val="55138735"/>
      </c:barChart>
      <c:catAx>
        <c:axId val="55144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8735"/>
        <c:crosses val="autoZero"/>
        <c:auto val="1"/>
        <c:lblAlgn val="ctr"/>
        <c:lblOffset val="100"/>
        <c:noMultiLvlLbl val="0"/>
      </c:catAx>
      <c:valAx>
        <c:axId val="55138735"/>
        <c:scaling>
          <c:orientation val="minMax"/>
        </c:scaling>
        <c:delete val="0"/>
        <c:axPos val="b"/>
        <c:numFmt formatCode="_-[$₦-471]\ * #,##0.00_-;\-[$₦-471]\ * #,##0.00_-;_-[$₦-471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Transactions between loan</a:t>
            </a:r>
            <a:r>
              <a:rPr lang="en-US" sz="1200" b="1" baseline="0"/>
              <a:t> and without loan?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'3. Retention and Loyalty'!$C$35</c:f>
              <c:strCache>
                <c:ptCount val="1"/>
                <c:pt idx="0">
                  <c:v>Transactions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F1-4DD2-84C8-1701847064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F1-4DD2-84C8-1701847064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'3. Retention and Loyalty'!$B$36:$B$37</c:f>
              <c:strCache>
                <c:ptCount val="2"/>
                <c:pt idx="0">
                  <c:v>Without Loan</c:v>
                </c:pt>
                <c:pt idx="1">
                  <c:v>With Loan</c:v>
                </c:pt>
              </c:strCache>
            </c:strRef>
          </c:cat>
          <c:val>
            <c:numRef>
              <c:f>'3. Retention and Loyalty'!$C$36:$C$37</c:f>
              <c:numCache>
                <c:formatCode>General</c:formatCode>
                <c:ptCount val="2"/>
                <c:pt idx="0">
                  <c:v>516</c:v>
                </c:pt>
                <c:pt idx="1">
                  <c:v>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3-43D0-922E-AD72818D771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[Analysed.xlsx]4. Revenue and Profitability 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Which branch contributes the most to overall revenue?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'4. Revenue and Profitability '!$C$53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'4. Revenue and Profitability '!$B$54:$B$63</c:f>
              <c:strCache>
                <c:ptCount val="10"/>
                <c:pt idx="0">
                  <c:v>BR619</c:v>
                </c:pt>
                <c:pt idx="1">
                  <c:v>BR931</c:v>
                </c:pt>
                <c:pt idx="2">
                  <c:v>BR621</c:v>
                </c:pt>
                <c:pt idx="3">
                  <c:v>BR852</c:v>
                </c:pt>
                <c:pt idx="4">
                  <c:v>BR684</c:v>
                </c:pt>
                <c:pt idx="5">
                  <c:v>BR780</c:v>
                </c:pt>
                <c:pt idx="6">
                  <c:v>BR232</c:v>
                </c:pt>
                <c:pt idx="7">
                  <c:v>BR563</c:v>
                </c:pt>
                <c:pt idx="8">
                  <c:v>BR338</c:v>
                </c:pt>
                <c:pt idx="9">
                  <c:v>BR649</c:v>
                </c:pt>
              </c:strCache>
            </c:strRef>
          </c:cat>
          <c:val>
            <c:numRef>
              <c:f>'4. Revenue and Profitability '!$C$54:$C$63</c:f>
              <c:numCache>
                <c:formatCode>_-[$₦-471]\ * #,##0_-;\-[$₦-471]\ * #,##0_-;_-[$₦-471]\ * "-"??_-;_-@_-</c:formatCode>
                <c:ptCount val="10"/>
                <c:pt idx="0">
                  <c:v>5274.4312085000001</c:v>
                </c:pt>
                <c:pt idx="1">
                  <c:v>4666.0849389999994</c:v>
                </c:pt>
                <c:pt idx="2">
                  <c:v>4041.3419985</c:v>
                </c:pt>
                <c:pt idx="3">
                  <c:v>3980.1318645000001</c:v>
                </c:pt>
                <c:pt idx="4">
                  <c:v>3921.3360994999998</c:v>
                </c:pt>
                <c:pt idx="5">
                  <c:v>3748.8795314999998</c:v>
                </c:pt>
                <c:pt idx="6">
                  <c:v>3602.7654334999997</c:v>
                </c:pt>
                <c:pt idx="7">
                  <c:v>3587.3490274999999</c:v>
                </c:pt>
                <c:pt idx="8">
                  <c:v>3570.7660245000002</c:v>
                </c:pt>
                <c:pt idx="9">
                  <c:v>3530.0075099999999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2-4FB1-9D8A-4D3A557988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83005039"/>
        <c:axId val="383005519"/>
      </c:barChart>
      <c:catAx>
        <c:axId val="38300503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05519"/>
        <c:crosses val="autoZero"/>
        <c:auto val="1"/>
        <c:lblAlgn val="ctr"/>
        <c:lblOffset val="100"/>
        <c:noMultiLvlLbl val="0"/>
      </c:catAx>
      <c:valAx>
        <c:axId val="383005519"/>
        <c:scaling>
          <c:orientation val="minMax"/>
        </c:scaling>
        <c:delete val="1"/>
        <c:axPos val="b"/>
        <c:numFmt formatCode="_-[$₦-471]\ * #,##0_-;\-[$₦-471]\ * #,##0_-;_-[$₦-471]\ * &quot;-&quot;??_-;_-@_-" sourceLinked="1"/>
        <c:majorTickMark val="out"/>
        <c:minorTickMark val="none"/>
        <c:tickLblPos val="nextTo"/>
        <c:crossAx val="383005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cap="all" spc="100" normalizeH="0" baseline="0">
                <a:solidFill>
                  <a:schemeClr val="lt1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900">
                <a:latin typeface="Segoe UI Semibold" panose="020B0702040204020203" pitchFamily="34" charset="0"/>
                <a:cs typeface="Segoe UI Semibold" panose="020B0702040204020203" pitchFamily="34" charset="0"/>
              </a:rPr>
              <a:t>Which Currency generate the most revenue?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cap="all" spc="100" normalizeH="0" baseline="0">
              <a:solidFill>
                <a:schemeClr val="lt1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'4. Revenue and Profitability '!$C$73</c:f>
              <c:strCache>
                <c:ptCount val="1"/>
                <c:pt idx="0">
                  <c:v>Amount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2E-4625-96D8-F79BC8B31F53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2E-4625-96D8-F79BC8B31F53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2E-4625-96D8-F79BC8B31F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'4. Revenue and Profitability '!$B$74:$B$76</c:f>
              <c:strCache>
                <c:ptCount val="3"/>
                <c:pt idx="0">
                  <c:v>EUR</c:v>
                </c:pt>
                <c:pt idx="1">
                  <c:v>GBP</c:v>
                </c:pt>
                <c:pt idx="2">
                  <c:v>USD</c:v>
                </c:pt>
              </c:strCache>
            </c:strRef>
          </c:cat>
          <c:val>
            <c:numRef>
              <c:f>'4. Revenue and Profitability '!$C$74:$C$76</c:f>
              <c:numCache>
                <c:formatCode>_-[$£-809]* #,##0.00_-;\-[$£-809]* #,##0.00_-;_-[$£-809]* "-"??_-;_-@_-</c:formatCode>
                <c:ptCount val="3"/>
                <c:pt idx="0" formatCode="_([$€-2]\ * #,##0.00_);_([$€-2]\ * \(#,##0.00\);_([$€-2]\ * &quot;-&quot;??_);_(@_)">
                  <c:v>237992.39414600006</c:v>
                </c:pt>
                <c:pt idx="1">
                  <c:v>255324.5026889999</c:v>
                </c:pt>
                <c:pt idx="2" formatCode="_(&quot;$&quot;* #,##0.00_);_(&quot;$&quot;* \(#,##0.00\);_(&quot;$&quot;* &quot;-&quot;??_);_(@_)">
                  <c:v>304641.02692950011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C-4DD3-B37C-C09C15F458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latin typeface="Segoe UI Semibold" panose="020B0702040204020203" pitchFamily="34" charset="0"/>
                <a:cs typeface="Segoe UI Semibold" panose="020B0702040204020203" pitchFamily="34" charset="0"/>
              </a:rPr>
              <a:t>What is the average transaction amount for each transaction type?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'5. Transaction Analysis'!$C$14</c:f>
              <c:strCache>
                <c:ptCount val="1"/>
                <c:pt idx="0">
                  <c:v>AVG 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6CA-44ED-AEFE-7ECC0ECACC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6CA-44ED-AEFE-7ECC0ECACC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6CA-44ED-AEFE-7ECC0ECACCC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6CA-44ED-AEFE-7ECC0ECACC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'5. Transaction Analysis'!$B$15:$B$18</c:f>
              <c:strCache>
                <c:ptCount val="4"/>
                <c:pt idx="0">
                  <c:v>Payment</c:v>
                </c:pt>
                <c:pt idx="1">
                  <c:v>Withdrawal</c:v>
                </c:pt>
                <c:pt idx="2">
                  <c:v>Transfer</c:v>
                </c:pt>
                <c:pt idx="3">
                  <c:v>Deposit</c:v>
                </c:pt>
              </c:strCache>
            </c:strRef>
          </c:cat>
          <c:val>
            <c:numRef>
              <c:f>'5. Transaction Analysis'!$C$15:$C$18</c:f>
              <c:numCache>
                <c:formatCode>_-[$₦-471]\ * #,##0_-;\-[$₦-471]\ * #,##0_-;_-[$₦-471]\ * "-"??_-;_-@_-</c:formatCode>
                <c:ptCount val="4"/>
                <c:pt idx="0">
                  <c:v>27275.772765567803</c:v>
                </c:pt>
                <c:pt idx="1">
                  <c:v>26906.318103448302</c:v>
                </c:pt>
                <c:pt idx="2">
                  <c:v>26304.411919642869</c:v>
                </c:pt>
                <c:pt idx="3">
                  <c:v>26767.512685950427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9E-4A26-9D2C-76DDCCBD9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[Analysed.xlsx]5. Transaction Analysis!PivotTable14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1200">
                <a:latin typeface="Segoe UI Semibold" panose="020B0702040204020203" pitchFamily="34" charset="0"/>
                <a:cs typeface="Segoe UI Semibold" panose="020B0702040204020203" pitchFamily="34" charset="0"/>
              </a:rPr>
              <a:t>What's the volume of transaction daily?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'5. Transaction Analysis'!$C$34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'5. Transaction Analysis'!$B$35:$B$66</c:f>
              <c:strCache>
                <c:ptCount val="31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'5. Transaction Analysis'!$C$35:$C$66</c:f>
              <c:numCache>
                <c:formatCode>General</c:formatCode>
                <c:ptCount val="31"/>
                <c:pt idx="0">
                  <c:v>30</c:v>
                </c:pt>
                <c:pt idx="1">
                  <c:v>29</c:v>
                </c:pt>
                <c:pt idx="2">
                  <c:v>27</c:v>
                </c:pt>
                <c:pt idx="3">
                  <c:v>24</c:v>
                </c:pt>
                <c:pt idx="4">
                  <c:v>40</c:v>
                </c:pt>
                <c:pt idx="5">
                  <c:v>40</c:v>
                </c:pt>
                <c:pt idx="6">
                  <c:v>42</c:v>
                </c:pt>
                <c:pt idx="7">
                  <c:v>38</c:v>
                </c:pt>
                <c:pt idx="8">
                  <c:v>41</c:v>
                </c:pt>
                <c:pt idx="9">
                  <c:v>38</c:v>
                </c:pt>
                <c:pt idx="10">
                  <c:v>35</c:v>
                </c:pt>
                <c:pt idx="11">
                  <c:v>31</c:v>
                </c:pt>
                <c:pt idx="12">
                  <c:v>28</c:v>
                </c:pt>
                <c:pt idx="13">
                  <c:v>22</c:v>
                </c:pt>
                <c:pt idx="14">
                  <c:v>36</c:v>
                </c:pt>
                <c:pt idx="15">
                  <c:v>29</c:v>
                </c:pt>
                <c:pt idx="16">
                  <c:v>34</c:v>
                </c:pt>
                <c:pt idx="17">
                  <c:v>29</c:v>
                </c:pt>
                <c:pt idx="18">
                  <c:v>40</c:v>
                </c:pt>
                <c:pt idx="19">
                  <c:v>36</c:v>
                </c:pt>
                <c:pt idx="20">
                  <c:v>33</c:v>
                </c:pt>
                <c:pt idx="21">
                  <c:v>24</c:v>
                </c:pt>
                <c:pt idx="22">
                  <c:v>31</c:v>
                </c:pt>
                <c:pt idx="23">
                  <c:v>34</c:v>
                </c:pt>
                <c:pt idx="24">
                  <c:v>34</c:v>
                </c:pt>
                <c:pt idx="25">
                  <c:v>33</c:v>
                </c:pt>
                <c:pt idx="26">
                  <c:v>30</c:v>
                </c:pt>
                <c:pt idx="27">
                  <c:v>38</c:v>
                </c:pt>
                <c:pt idx="28">
                  <c:v>25</c:v>
                </c:pt>
                <c:pt idx="29">
                  <c:v>37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0-4206-9A5F-F7AC53D29C3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41120591"/>
        <c:axId val="541130191"/>
      </c:lineChart>
      <c:catAx>
        <c:axId val="5411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30191"/>
        <c:crosses val="autoZero"/>
        <c:auto val="1"/>
        <c:lblAlgn val="ctr"/>
        <c:lblOffset val="100"/>
        <c:noMultiLvlLbl val="0"/>
      </c:catAx>
      <c:valAx>
        <c:axId val="5411301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4112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[Analysed.xlsx]5. Transaction Analysis!PivotTable15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1000">
                <a:latin typeface="Segoe UI Semibold" panose="020B0702040204020203" pitchFamily="34" charset="0"/>
                <a:cs typeface="Segoe UI Semibold" panose="020B0702040204020203" pitchFamily="34" charset="0"/>
              </a:rPr>
              <a:t>What's the volume of transactions Monthly?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tx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'5. Transaction Analysis'!$C$71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tx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'5. Transaction Analysis'!$B$72:$B$83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'5. Transaction Analysis'!$C$72:$C$83</c:f>
              <c:numCache>
                <c:formatCode>General</c:formatCode>
                <c:ptCount val="12"/>
                <c:pt idx="0">
                  <c:v>92</c:v>
                </c:pt>
                <c:pt idx="1">
                  <c:v>101</c:v>
                </c:pt>
                <c:pt idx="2">
                  <c:v>88</c:v>
                </c:pt>
                <c:pt idx="3">
                  <c:v>89</c:v>
                </c:pt>
                <c:pt idx="4">
                  <c:v>109</c:v>
                </c:pt>
                <c:pt idx="5">
                  <c:v>91</c:v>
                </c:pt>
                <c:pt idx="6">
                  <c:v>128</c:v>
                </c:pt>
                <c:pt idx="7">
                  <c:v>82</c:v>
                </c:pt>
                <c:pt idx="8">
                  <c:v>55</c:v>
                </c:pt>
                <c:pt idx="9">
                  <c:v>55</c:v>
                </c:pt>
                <c:pt idx="10">
                  <c:v>59</c:v>
                </c:pt>
                <c:pt idx="11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9-4419-AF5B-B8AFF7E9E50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81680175"/>
        <c:axId val="281680655"/>
      </c:lineChart>
      <c:catAx>
        <c:axId val="28168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80655"/>
        <c:crosses val="autoZero"/>
        <c:auto val="1"/>
        <c:lblAlgn val="ctr"/>
        <c:lblOffset val="100"/>
        <c:noMultiLvlLbl val="0"/>
      </c:catAx>
      <c:valAx>
        <c:axId val="2816806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8168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[Analysed.xlsx]5. Transaction Analysis!PivotTable16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080" b="0" i="0" u="none" strike="noStrike" kern="1200" spc="0" baseline="0">
                <a:solidFill>
                  <a:srgbClr val="0E2841"/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What's the volume of </a:t>
            </a:r>
            <a:r>
              <a:rPr lang="en-US" sz="10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transactions</a:t>
            </a:r>
            <a:r>
              <a:rPr lang="en-US" sz="11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 Quartely?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0E2841"/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US" sz="1080" b="0" i="0" u="none" strike="noStrike" kern="1200" spc="0" baseline="0">
              <a:solidFill>
                <a:srgbClr val="0E284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'5. Transaction Analysis'!$C$88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'5. Transaction Analysis'!$B$89:$B$92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'5. Transaction Analysis'!$C$89:$C$92</c:f>
              <c:numCache>
                <c:formatCode>General</c:formatCode>
                <c:ptCount val="4"/>
                <c:pt idx="0">
                  <c:v>281</c:v>
                </c:pt>
                <c:pt idx="1">
                  <c:v>289</c:v>
                </c:pt>
                <c:pt idx="2">
                  <c:v>265</c:v>
                </c:pt>
                <c:pt idx="3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A-4020-AA68-E5B35FBE8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707583"/>
        <c:axId val="316725343"/>
      </c:lineChart>
      <c:catAx>
        <c:axId val="31670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25343"/>
        <c:crosses val="autoZero"/>
        <c:auto val="1"/>
        <c:lblAlgn val="ctr"/>
        <c:lblOffset val="100"/>
        <c:noMultiLvlLbl val="0"/>
      </c:catAx>
      <c:valAx>
        <c:axId val="3167253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670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2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[Analysed.xlsx]6. Loan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>
                <a:latin typeface="Segoe UI Semibold" panose="020B0702040204020203" pitchFamily="34" charset="0"/>
                <a:cs typeface="Segoe UI Semibold" panose="020B0702040204020203" pitchFamily="34" charset="0"/>
              </a:rPr>
              <a:t>What's</a:t>
            </a:r>
            <a:r>
              <a:rPr lang="en-US" sz="1050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 the avg loan by branch per customer?</a:t>
            </a:r>
            <a:endParaRPr lang="en-US" sz="1050"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'6. Loan Analysis'!$C$19:$C$20</c:f>
              <c:strCache>
                <c:ptCount val="1"/>
                <c:pt idx="0">
                  <c:v>Alice Johnson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 Loan Analysis'!$B$21:$B$30</c:f>
              <c:strCache>
                <c:ptCount val="10"/>
                <c:pt idx="0">
                  <c:v>BR392</c:v>
                </c:pt>
                <c:pt idx="1">
                  <c:v>BR158</c:v>
                </c:pt>
                <c:pt idx="2">
                  <c:v>BR337</c:v>
                </c:pt>
                <c:pt idx="3">
                  <c:v>BR848</c:v>
                </c:pt>
                <c:pt idx="4">
                  <c:v>BR630</c:v>
                </c:pt>
                <c:pt idx="5">
                  <c:v>BR974</c:v>
                </c:pt>
                <c:pt idx="6">
                  <c:v>BR740</c:v>
                </c:pt>
                <c:pt idx="7">
                  <c:v>BR167</c:v>
                </c:pt>
                <c:pt idx="8">
                  <c:v>BR402</c:v>
                </c:pt>
                <c:pt idx="9">
                  <c:v>BR781</c:v>
                </c:pt>
              </c:strCache>
            </c:strRef>
          </c:cat>
          <c:val>
            <c:numRef>
              <c:f>'6. Loan Analysis'!$C$21:$C$30</c:f>
              <c:numCache>
                <c:formatCode>_-[$₦-471]\ * #,##0_-;\-[$₦-471]\ * #,##0_-;_-[$₦-471]\ * "-"??_-;_-@_-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99BC-4AA6-9329-E49EF01DD16E}"/>
            </c:ext>
          </c:extLst>
        </c:ser>
        <c:ser>
          <c:idx val="1"/>
          <c:order val="1"/>
          <c:tx>
            <c:strRef>
              <c:f>'6. Loan Analysis'!$D$19:$D$20</c:f>
              <c:strCache>
                <c:ptCount val="1"/>
                <c:pt idx="0">
                  <c:v>Bob Brown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 Loan Analysis'!$B$21:$B$30</c:f>
              <c:strCache>
                <c:ptCount val="10"/>
                <c:pt idx="0">
                  <c:v>BR392</c:v>
                </c:pt>
                <c:pt idx="1">
                  <c:v>BR158</c:v>
                </c:pt>
                <c:pt idx="2">
                  <c:v>BR337</c:v>
                </c:pt>
                <c:pt idx="3">
                  <c:v>BR848</c:v>
                </c:pt>
                <c:pt idx="4">
                  <c:v>BR630</c:v>
                </c:pt>
                <c:pt idx="5">
                  <c:v>BR974</c:v>
                </c:pt>
                <c:pt idx="6">
                  <c:v>BR740</c:v>
                </c:pt>
                <c:pt idx="7">
                  <c:v>BR167</c:v>
                </c:pt>
                <c:pt idx="8">
                  <c:v>BR402</c:v>
                </c:pt>
                <c:pt idx="9">
                  <c:v>BR781</c:v>
                </c:pt>
              </c:strCache>
            </c:strRef>
          </c:cat>
          <c:val>
            <c:numRef>
              <c:f>'6. Loan Analysis'!$D$21:$D$30</c:f>
              <c:numCache>
                <c:formatCode>_-[$₦-471]\ * #,##0_-;\-[$₦-471]\ * #,##0_-;_-[$₦-471]\ * "-"??_-;_-@_-</c:formatCode>
                <c:ptCount val="10"/>
                <c:pt idx="5">
                  <c:v>49059.65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BC-4AA6-9329-E49EF01DD16E}"/>
            </c:ext>
          </c:extLst>
        </c:ser>
        <c:ser>
          <c:idx val="2"/>
          <c:order val="2"/>
          <c:tx>
            <c:strRef>
              <c:f>'6. Loan Analysis'!$E$19:$E$20</c:f>
              <c:strCache>
                <c:ptCount val="1"/>
                <c:pt idx="0">
                  <c:v>Carol White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 Loan Analysis'!$B$21:$B$30</c:f>
              <c:strCache>
                <c:ptCount val="10"/>
                <c:pt idx="0">
                  <c:v>BR392</c:v>
                </c:pt>
                <c:pt idx="1">
                  <c:v>BR158</c:v>
                </c:pt>
                <c:pt idx="2">
                  <c:v>BR337</c:v>
                </c:pt>
                <c:pt idx="3">
                  <c:v>BR848</c:v>
                </c:pt>
                <c:pt idx="4">
                  <c:v>BR630</c:v>
                </c:pt>
                <c:pt idx="5">
                  <c:v>BR974</c:v>
                </c:pt>
                <c:pt idx="6">
                  <c:v>BR740</c:v>
                </c:pt>
                <c:pt idx="7">
                  <c:v>BR167</c:v>
                </c:pt>
                <c:pt idx="8">
                  <c:v>BR402</c:v>
                </c:pt>
                <c:pt idx="9">
                  <c:v>BR781</c:v>
                </c:pt>
              </c:strCache>
            </c:strRef>
          </c:cat>
          <c:val>
            <c:numRef>
              <c:f>'6. Loan Analysis'!$E$21:$E$30</c:f>
              <c:numCache>
                <c:formatCode>_-[$₦-471]\ * #,##0_-;\-[$₦-471]\ * #,##0_-;_-[$₦-471]\ * "-"??_-;_-@_-</c:formatCode>
                <c:ptCount val="10"/>
                <c:pt idx="7">
                  <c:v>48583.11</c:v>
                </c:pt>
                <c:pt idx="8">
                  <c:v>49645.69</c:v>
                </c:pt>
                <c:pt idx="9">
                  <c:v>49971.42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BC-4AA6-9329-E49EF01DD16E}"/>
            </c:ext>
          </c:extLst>
        </c:ser>
        <c:ser>
          <c:idx val="3"/>
          <c:order val="3"/>
          <c:tx>
            <c:strRef>
              <c:f>'6. Loan Analysis'!$F$19:$F$20</c:f>
              <c:strCache>
                <c:ptCount val="1"/>
                <c:pt idx="0">
                  <c:v>Jane Smith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 Loan Analysis'!$B$21:$B$30</c:f>
              <c:strCache>
                <c:ptCount val="10"/>
                <c:pt idx="0">
                  <c:v>BR392</c:v>
                </c:pt>
                <c:pt idx="1">
                  <c:v>BR158</c:v>
                </c:pt>
                <c:pt idx="2">
                  <c:v>BR337</c:v>
                </c:pt>
                <c:pt idx="3">
                  <c:v>BR848</c:v>
                </c:pt>
                <c:pt idx="4">
                  <c:v>BR630</c:v>
                </c:pt>
                <c:pt idx="5">
                  <c:v>BR974</c:v>
                </c:pt>
                <c:pt idx="6">
                  <c:v>BR740</c:v>
                </c:pt>
                <c:pt idx="7">
                  <c:v>BR167</c:v>
                </c:pt>
                <c:pt idx="8">
                  <c:v>BR402</c:v>
                </c:pt>
                <c:pt idx="9">
                  <c:v>BR781</c:v>
                </c:pt>
              </c:strCache>
            </c:strRef>
          </c:cat>
          <c:val>
            <c:numRef>
              <c:f>'6. Loan Analysis'!$F$21:$F$30</c:f>
              <c:numCache>
                <c:formatCode>_-[$₦-471]\ * #,##0_-;\-[$₦-471]\ * #,##0_-;_-[$₦-471]\ * "-"??_-;_-@_-</c:formatCode>
                <c:ptCount val="10"/>
                <c:pt idx="0">
                  <c:v>49614.43</c:v>
                </c:pt>
                <c:pt idx="2">
                  <c:v>48616.5</c:v>
                </c:pt>
                <c:pt idx="4">
                  <c:v>48677</c:v>
                </c:pt>
                <c:pt idx="6">
                  <c:v>48444.9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BC-4AA6-9329-E49EF01DD16E}"/>
            </c:ext>
          </c:extLst>
        </c:ser>
        <c:ser>
          <c:idx val="4"/>
          <c:order val="4"/>
          <c:tx>
            <c:strRef>
              <c:f>'6. Loan Analysis'!$G$19:$G$20</c:f>
              <c:strCache>
                <c:ptCount val="1"/>
                <c:pt idx="0">
                  <c:v>John Doe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 Loan Analysis'!$B$21:$B$30</c:f>
              <c:strCache>
                <c:ptCount val="10"/>
                <c:pt idx="0">
                  <c:v>BR392</c:v>
                </c:pt>
                <c:pt idx="1">
                  <c:v>BR158</c:v>
                </c:pt>
                <c:pt idx="2">
                  <c:v>BR337</c:v>
                </c:pt>
                <c:pt idx="3">
                  <c:v>BR848</c:v>
                </c:pt>
                <c:pt idx="4">
                  <c:v>BR630</c:v>
                </c:pt>
                <c:pt idx="5">
                  <c:v>BR974</c:v>
                </c:pt>
                <c:pt idx="6">
                  <c:v>BR740</c:v>
                </c:pt>
                <c:pt idx="7">
                  <c:v>BR167</c:v>
                </c:pt>
                <c:pt idx="8">
                  <c:v>BR402</c:v>
                </c:pt>
                <c:pt idx="9">
                  <c:v>BR781</c:v>
                </c:pt>
              </c:strCache>
            </c:strRef>
          </c:cat>
          <c:val>
            <c:numRef>
              <c:f>'6. Loan Analysis'!$G$21:$G$30</c:f>
              <c:numCache>
                <c:formatCode>_-[$₦-471]\ * #,##0_-;\-[$₦-471]\ * #,##0_-;_-[$₦-471]\ * "-"??_-;_-@_-</c:formatCode>
                <c:ptCount val="10"/>
                <c:pt idx="1">
                  <c:v>48180.77</c:v>
                </c:pt>
                <c:pt idx="3">
                  <c:v>49983.6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BC-4AA6-9329-E49EF01DD1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88097936"/>
        <c:axId val="1188092656"/>
      </c:barChart>
      <c:catAx>
        <c:axId val="1188097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92656"/>
        <c:crosses val="autoZero"/>
        <c:auto val="1"/>
        <c:lblAlgn val="ctr"/>
        <c:lblOffset val="100"/>
        <c:noMultiLvlLbl val="0"/>
      </c:catAx>
      <c:valAx>
        <c:axId val="1188092656"/>
        <c:scaling>
          <c:orientation val="minMax"/>
        </c:scaling>
        <c:delete val="1"/>
        <c:axPos val="b"/>
        <c:numFmt formatCode="_-[$₦-471]\ * #,##0_-;\-[$₦-471]\ * #,##0_-;_-[$₦-471]\ * &quot;-&quot;??_-;_-@_-" sourceLinked="1"/>
        <c:majorTickMark val="none"/>
        <c:minorTickMark val="none"/>
        <c:tickLblPos val="nextTo"/>
        <c:crossAx val="118809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000" b="1">
                <a:latin typeface="Segoe UI Semibold" panose="020B0702040204020203" pitchFamily="34" charset="0"/>
                <a:cs typeface="Segoe UI Semibold" panose="020B0702040204020203" pitchFamily="34" charset="0"/>
              </a:rPr>
              <a:t>who are the Customers</a:t>
            </a:r>
            <a:r>
              <a:rPr lang="en-US" sz="1000" b="1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 that are high risk borrowers based on their credit score?</a:t>
            </a:r>
            <a:endParaRPr lang="en-US" sz="1000" b="1"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'6. Loan Analysis'!$C$37</c:f>
              <c:strCache>
                <c:ptCount val="1"/>
                <c:pt idx="0">
                  <c:v>Credit Ratings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D2-4256-878E-0C4160E4146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D2-4256-878E-0C4160E4146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D2-4256-878E-0C4160E41464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D2-4256-878E-0C4160E41464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D2-4256-878E-0C4160E414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'6. Loan Analysis'!$B$38:$B$42</c:f>
              <c:strCache>
                <c:ptCount val="5"/>
                <c:pt idx="0">
                  <c:v>Bob Brown</c:v>
                </c:pt>
                <c:pt idx="1">
                  <c:v>Carol White</c:v>
                </c:pt>
                <c:pt idx="2">
                  <c:v>Jane Smith</c:v>
                </c:pt>
                <c:pt idx="3">
                  <c:v>John Doe</c:v>
                </c:pt>
                <c:pt idx="4">
                  <c:v>Alice Johnson</c:v>
                </c:pt>
              </c:strCache>
            </c:strRef>
          </c:cat>
          <c:val>
            <c:numRef>
              <c:f>'6. Loan Analysis'!$C$38:$C$42</c:f>
              <c:numCache>
                <c:formatCode>General</c:formatCode>
                <c:ptCount val="5"/>
                <c:pt idx="0">
                  <c:v>459</c:v>
                </c:pt>
                <c:pt idx="1">
                  <c:v>832</c:v>
                </c:pt>
                <c:pt idx="2">
                  <c:v>410</c:v>
                </c:pt>
                <c:pt idx="3">
                  <c:v>360</c:v>
                </c:pt>
                <c:pt idx="4">
                  <c:v>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B-4968-AC60-46A4FA5597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[Analysed.xlsx]7. Credit Risk!PivotTable7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1200"/>
              <a:t>Credit Score of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7463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'7. Credit Risk'!$C$29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7463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'7. Credit Risk'!$B$30:$B$34</c:f>
              <c:strCache>
                <c:ptCount val="5"/>
                <c:pt idx="0">
                  <c:v>Poor</c:v>
                </c:pt>
                <c:pt idx="1">
                  <c:v>Fair</c:v>
                </c:pt>
                <c:pt idx="2">
                  <c:v>Good</c:v>
                </c:pt>
                <c:pt idx="3">
                  <c:v>Excellent</c:v>
                </c:pt>
                <c:pt idx="4">
                  <c:v>Very Good</c:v>
                </c:pt>
              </c:strCache>
            </c:strRef>
          </c:cat>
          <c:val>
            <c:numRef>
              <c:f>'7. Credit Risk'!$C$30:$C$34</c:f>
              <c:numCache>
                <c:formatCode>_(* #,##0_);_(* \(#,##0\);_(* "-"??_);_(@_)</c:formatCode>
                <c:ptCount val="5"/>
                <c:pt idx="0">
                  <c:v>530</c:v>
                </c:pt>
                <c:pt idx="1">
                  <c:v>152</c:v>
                </c:pt>
                <c:pt idx="2">
                  <c:v>128</c:v>
                </c:pt>
                <c:pt idx="3">
                  <c:v>100</c:v>
                </c:pt>
                <c:pt idx="4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9-4E3D-B27B-EC22837300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35225487"/>
        <c:axId val="1435209647"/>
      </c:barChart>
      <c:catAx>
        <c:axId val="143522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endParaRPr lang="en-US"/>
          </a:p>
        </c:txPr>
        <c:crossAx val="1435209647"/>
        <c:crosses val="autoZero"/>
        <c:auto val="1"/>
        <c:lblAlgn val="ctr"/>
        <c:lblOffset val="100"/>
        <c:noMultiLvlLbl val="0"/>
      </c:catAx>
      <c:valAx>
        <c:axId val="1435209647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435225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Segoe UI Semibold" panose="020B0702040204020203" pitchFamily="34" charset="0"/>
          <a:cs typeface="Segoe UI Semibold" panose="020B07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[Analysed.xlsx]7. Credit Risk!PivotTable2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Segoe UI Semibold" panose="020B0702040204020203" pitchFamily="34" charset="0"/>
                <a:cs typeface="Segoe UI Semibold" panose="020B0702040204020203" pitchFamily="34" charset="0"/>
              </a:rPr>
              <a:t>loan</a:t>
            </a:r>
            <a:r>
              <a:rPr lang="en-US" b="1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 default and credit ratings of customers</a:t>
            </a:r>
            <a:endParaRPr lang="en-US" b="1"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7463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1511E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'7. Credit Risk'!$C$46:$C$47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rgbClr val="67463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 Credit Risk'!$B$48:$B$52</c:f>
              <c:strCache>
                <c:ptCount val="5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Poor</c:v>
                </c:pt>
                <c:pt idx="4">
                  <c:v>Very Good</c:v>
                </c:pt>
              </c:strCache>
            </c:strRef>
          </c:cat>
          <c:val>
            <c:numRef>
              <c:f>'7. Credit Risk'!$C$48:$C$52</c:f>
              <c:numCache>
                <c:formatCode>General</c:formatCode>
                <c:ptCount val="5"/>
                <c:pt idx="0">
                  <c:v>34</c:v>
                </c:pt>
                <c:pt idx="1">
                  <c:v>62</c:v>
                </c:pt>
                <c:pt idx="2">
                  <c:v>43</c:v>
                </c:pt>
                <c:pt idx="3">
                  <c:v>180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2-4E86-B8BA-CA2221B16F9A}"/>
            </c:ext>
          </c:extLst>
        </c:ser>
        <c:ser>
          <c:idx val="1"/>
          <c:order val="1"/>
          <c:tx>
            <c:strRef>
              <c:f>'7. Credit Risk'!$D$46:$D$47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 Credit Risk'!$B$48:$B$52</c:f>
              <c:strCache>
                <c:ptCount val="5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Poor</c:v>
                </c:pt>
                <c:pt idx="4">
                  <c:v>Very Good</c:v>
                </c:pt>
              </c:strCache>
            </c:strRef>
          </c:cat>
          <c:val>
            <c:numRef>
              <c:f>'7. Credit Risk'!$D$48:$D$52</c:f>
              <c:numCache>
                <c:formatCode>General</c:formatCode>
                <c:ptCount val="5"/>
                <c:pt idx="0">
                  <c:v>31</c:v>
                </c:pt>
                <c:pt idx="1">
                  <c:v>50</c:v>
                </c:pt>
                <c:pt idx="2">
                  <c:v>50</c:v>
                </c:pt>
                <c:pt idx="3">
                  <c:v>186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22-4E86-B8BA-CA2221B16F9A}"/>
            </c:ext>
          </c:extLst>
        </c:ser>
        <c:ser>
          <c:idx val="2"/>
          <c:order val="2"/>
          <c:tx>
            <c:strRef>
              <c:f>'7. Credit Risk'!$E$46:$E$47</c:f>
              <c:strCache>
                <c:ptCount val="1"/>
                <c:pt idx="0">
                  <c:v>Pending</c:v>
                </c:pt>
              </c:strCache>
            </c:strRef>
          </c:tx>
          <c:spPr>
            <a:solidFill>
              <a:srgbClr val="31511E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 Credit Risk'!$B$48:$B$52</c:f>
              <c:strCache>
                <c:ptCount val="5"/>
                <c:pt idx="0">
                  <c:v>Excellent</c:v>
                </c:pt>
                <c:pt idx="1">
                  <c:v>Fair</c:v>
                </c:pt>
                <c:pt idx="2">
                  <c:v>Good</c:v>
                </c:pt>
                <c:pt idx="3">
                  <c:v>Poor</c:v>
                </c:pt>
                <c:pt idx="4">
                  <c:v>Very Good</c:v>
                </c:pt>
              </c:strCache>
            </c:strRef>
          </c:cat>
          <c:val>
            <c:numRef>
              <c:f>'7. Credit Risk'!$E$48:$E$52</c:f>
              <c:numCache>
                <c:formatCode>General</c:formatCode>
                <c:ptCount val="5"/>
                <c:pt idx="0">
                  <c:v>35</c:v>
                </c:pt>
                <c:pt idx="1">
                  <c:v>40</c:v>
                </c:pt>
                <c:pt idx="2">
                  <c:v>35</c:v>
                </c:pt>
                <c:pt idx="3">
                  <c:v>164</c:v>
                </c:pt>
                <c:pt idx="4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22-4E86-B8BA-CA2221B16F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3701535"/>
        <c:axId val="183697695"/>
        <c:axId val="0"/>
      </c:bar3DChart>
      <c:catAx>
        <c:axId val="18370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97695"/>
        <c:crosses val="autoZero"/>
        <c:auto val="1"/>
        <c:lblAlgn val="ctr"/>
        <c:lblOffset val="100"/>
        <c:noMultiLvlLbl val="0"/>
      </c:catAx>
      <c:valAx>
        <c:axId val="18369769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0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latin typeface="Segoe UI Semibold" panose="020B0702040204020203" pitchFamily="34" charset="0"/>
                <a:cs typeface="Segoe UI Semibold" panose="020B0702040204020203" pitchFamily="34" charset="0"/>
              </a:rPr>
              <a:t>highest percentage of overdue or failed </a:t>
            </a:r>
          </a:p>
          <a:p>
            <a:pPr>
              <a:defRPr/>
            </a:pPr>
            <a:r>
              <a:rPr lang="en-US" sz="1050" b="1">
                <a:latin typeface="Segoe UI Semibold" panose="020B0702040204020203" pitchFamily="34" charset="0"/>
                <a:cs typeface="Segoe UI Semibold" panose="020B0702040204020203" pitchFamily="34" charset="0"/>
              </a:rPr>
              <a:t>transactions?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'7. Credit Risk'!$C$66</c:f>
              <c:strCache>
                <c:ptCount val="1"/>
                <c:pt idx="0">
                  <c:v>Failures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89-47E0-8C07-6FD992A996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89-47E0-8C07-6FD992A996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689-47E0-8C07-6FD992A996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'7. Credit Risk'!$B$67:$B$69</c:f>
              <c:strCache>
                <c:ptCount val="3"/>
                <c:pt idx="0">
                  <c:v>Checking</c:v>
                </c:pt>
                <c:pt idx="1">
                  <c:v>Credit</c:v>
                </c:pt>
                <c:pt idx="2">
                  <c:v>Savings</c:v>
                </c:pt>
              </c:strCache>
            </c:strRef>
          </c:cat>
          <c:val>
            <c:numRef>
              <c:f>'7. Credit Risk'!$C$67:$C$69</c:f>
              <c:numCache>
                <c:formatCode>General</c:formatCode>
                <c:ptCount val="3"/>
                <c:pt idx="0">
                  <c:v>111</c:v>
                </c:pt>
                <c:pt idx="1">
                  <c:v>117</c:v>
                </c:pt>
                <c:pt idx="2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4-4F1E-BE54-33F715A04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0"/>
        <c:holeSize val="7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latin typeface="Segoe UI Semibold" panose="020B0702040204020203" pitchFamily="34" charset="0"/>
                <a:cs typeface="Segoe UI Semibold" panose="020B0702040204020203" pitchFamily="34" charset="0"/>
              </a:rPr>
              <a:t>Customer</a:t>
            </a:r>
            <a:r>
              <a:rPr lang="en-US" sz="1100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s low and high rate</a:t>
            </a:r>
            <a:r>
              <a:rPr lang="en-US" sz="1100">
                <a:latin typeface="Segoe UI Semibold" panose="020B0702040204020203" pitchFamily="34" charset="0"/>
                <a:cs typeface="Segoe UI Semibold" panose="020B0702040204020203" pitchFamily="34" charset="0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'7. Credit Risk'!$C$85</c:f>
              <c:strCache>
                <c:ptCount val="1"/>
                <c:pt idx="0">
                  <c:v>High Rate(%)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 Credit Risk'!$B$86:$B$90</c:f>
              <c:strCache>
                <c:ptCount val="5"/>
                <c:pt idx="0">
                  <c:v>Bob Brown</c:v>
                </c:pt>
                <c:pt idx="1">
                  <c:v>Carol White</c:v>
                </c:pt>
                <c:pt idx="2">
                  <c:v>Jane Smith</c:v>
                </c:pt>
                <c:pt idx="3">
                  <c:v>John Doe</c:v>
                </c:pt>
                <c:pt idx="4">
                  <c:v>Alice Johnson</c:v>
                </c:pt>
              </c:strCache>
            </c:strRef>
          </c:cat>
          <c:val>
            <c:numRef>
              <c:f>'7. Credit Risk'!$C$86:$C$90</c:f>
              <c:numCache>
                <c:formatCode>General</c:formatCode>
                <c:ptCount val="5"/>
                <c:pt idx="0">
                  <c:v>36</c:v>
                </c:pt>
                <c:pt idx="1">
                  <c:v>44</c:v>
                </c:pt>
                <c:pt idx="2">
                  <c:v>40</c:v>
                </c:pt>
                <c:pt idx="3">
                  <c:v>46</c:v>
                </c:pt>
                <c:pt idx="4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5-47C4-A805-F3D78EA14F77}"/>
            </c:ext>
          </c:extLst>
        </c:ser>
        <c:ser>
          <c:idx val="1"/>
          <c:order val="1"/>
          <c:tx>
            <c:strRef>
              <c:f>'7. Credit Risk'!$D$85</c:f>
              <c:strCache>
                <c:ptCount val="1"/>
                <c:pt idx="0">
                  <c:v>low Rate(%)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 Credit Risk'!$B$86:$B$90</c:f>
              <c:strCache>
                <c:ptCount val="5"/>
                <c:pt idx="0">
                  <c:v>Bob Brown</c:v>
                </c:pt>
                <c:pt idx="1">
                  <c:v>Carol White</c:v>
                </c:pt>
                <c:pt idx="2">
                  <c:v>Jane Smith</c:v>
                </c:pt>
                <c:pt idx="3">
                  <c:v>John Doe</c:v>
                </c:pt>
                <c:pt idx="4">
                  <c:v>Alice Johnson</c:v>
                </c:pt>
              </c:strCache>
            </c:strRef>
          </c:cat>
          <c:val>
            <c:numRef>
              <c:f>'7. Credit Risk'!$D$86:$D$90</c:f>
              <c:numCache>
                <c:formatCode>General</c:formatCode>
                <c:ptCount val="5"/>
                <c:pt idx="0">
                  <c:v>151</c:v>
                </c:pt>
                <c:pt idx="1">
                  <c:v>160</c:v>
                </c:pt>
                <c:pt idx="2">
                  <c:v>159</c:v>
                </c:pt>
                <c:pt idx="3">
                  <c:v>159</c:v>
                </c:pt>
                <c:pt idx="4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5-47C4-A805-F3D78EA14F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3964384"/>
        <c:axId val="1503964864"/>
      </c:barChart>
      <c:catAx>
        <c:axId val="15039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64864"/>
        <c:crosses val="autoZero"/>
        <c:auto val="1"/>
        <c:lblAlgn val="ctr"/>
        <c:lblOffset val="100"/>
        <c:noMultiLvlLbl val="0"/>
      </c:catAx>
      <c:valAx>
        <c:axId val="1503964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0396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latin typeface="Segoe UI Semibold" panose="020B0702040204020203" pitchFamily="34" charset="0"/>
                <a:cs typeface="Segoe UI Semibold" panose="020B0702040204020203" pitchFamily="34" charset="0"/>
              </a:rPr>
              <a:t>Branches</a:t>
            </a:r>
            <a:r>
              <a:rPr lang="en-US" sz="1200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 that are at high risk?</a:t>
            </a:r>
            <a:endParaRPr lang="en-US" sz="1200"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'8. Branch-Level Risk'!$O$11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'8. Branch-Level Risk'!$N$12:$N$17</c:f>
              <c:strCache>
                <c:ptCount val="6"/>
                <c:pt idx="0">
                  <c:v>BR924</c:v>
                </c:pt>
                <c:pt idx="1">
                  <c:v>BR481</c:v>
                </c:pt>
                <c:pt idx="2">
                  <c:v>BR931</c:v>
                </c:pt>
                <c:pt idx="3">
                  <c:v>BR740</c:v>
                </c:pt>
                <c:pt idx="4">
                  <c:v>BR398</c:v>
                </c:pt>
                <c:pt idx="5">
                  <c:v>BR812</c:v>
                </c:pt>
              </c:strCache>
            </c:strRef>
          </c:cat>
          <c:val>
            <c:numRef>
              <c:f>'8. Branch-Level Risk'!$O$12:$O$17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6-4AB0-9E00-ED6D61B1A5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03323616"/>
        <c:axId val="1503323136"/>
      </c:barChart>
      <c:catAx>
        <c:axId val="1503323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23136"/>
        <c:crosses val="autoZero"/>
        <c:auto val="1"/>
        <c:lblAlgn val="ctr"/>
        <c:lblOffset val="100"/>
        <c:noMultiLvlLbl val="0"/>
      </c:catAx>
      <c:valAx>
        <c:axId val="1503323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32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[Analysed.xlsx]9. Branch Performance!PivotTable8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u="none" strike="noStrike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Branch Efficiency in Loan Disbursement and Customer Service</a:t>
            </a:r>
            <a:endParaRPr lang="en-US" sz="1000" b="1"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A107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'9. Branch Performance'!$I$12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A107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'9. Branch Performance'!$H$13:$H$37</c:f>
              <c:strCache>
                <c:ptCount val="25"/>
                <c:pt idx="0">
                  <c:v>BR882</c:v>
                </c:pt>
                <c:pt idx="1">
                  <c:v>BR455</c:v>
                </c:pt>
                <c:pt idx="2">
                  <c:v>BR722</c:v>
                </c:pt>
                <c:pt idx="3">
                  <c:v>BR416</c:v>
                </c:pt>
                <c:pt idx="4">
                  <c:v>BR619</c:v>
                </c:pt>
                <c:pt idx="5">
                  <c:v>BR807</c:v>
                </c:pt>
                <c:pt idx="6">
                  <c:v>BR716</c:v>
                </c:pt>
                <c:pt idx="7">
                  <c:v>BR667</c:v>
                </c:pt>
                <c:pt idx="8">
                  <c:v>BR204</c:v>
                </c:pt>
                <c:pt idx="9">
                  <c:v>BR780</c:v>
                </c:pt>
                <c:pt idx="10">
                  <c:v>BR464</c:v>
                </c:pt>
                <c:pt idx="11">
                  <c:v>BR203</c:v>
                </c:pt>
                <c:pt idx="12">
                  <c:v>BR541</c:v>
                </c:pt>
                <c:pt idx="13">
                  <c:v>BR684</c:v>
                </c:pt>
                <c:pt idx="14">
                  <c:v>BR563</c:v>
                </c:pt>
                <c:pt idx="15">
                  <c:v>BR398</c:v>
                </c:pt>
                <c:pt idx="16">
                  <c:v>BR842</c:v>
                </c:pt>
                <c:pt idx="17">
                  <c:v>BR801</c:v>
                </c:pt>
                <c:pt idx="18">
                  <c:v>BR352</c:v>
                </c:pt>
                <c:pt idx="19">
                  <c:v>BR834</c:v>
                </c:pt>
                <c:pt idx="20">
                  <c:v>BR172</c:v>
                </c:pt>
                <c:pt idx="21">
                  <c:v>BR659</c:v>
                </c:pt>
                <c:pt idx="22">
                  <c:v>BR918</c:v>
                </c:pt>
                <c:pt idx="23">
                  <c:v>BR621</c:v>
                </c:pt>
                <c:pt idx="24">
                  <c:v>BR649</c:v>
                </c:pt>
              </c:strCache>
            </c:strRef>
          </c:cat>
          <c:val>
            <c:numRef>
              <c:f>'9. Branch Performance'!$I$13:$I$37</c:f>
              <c:numCache>
                <c:formatCode>General</c:formatCode>
                <c:ptCount val="25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2-4284-8DAC-6B430B89E2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3301536"/>
        <c:axId val="1503309216"/>
      </c:barChart>
      <c:catAx>
        <c:axId val="15033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09216"/>
        <c:crosses val="autoZero"/>
        <c:auto val="1"/>
        <c:lblAlgn val="ctr"/>
        <c:lblOffset val="100"/>
        <c:noMultiLvlLbl val="0"/>
      </c:catAx>
      <c:valAx>
        <c:axId val="15033092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0330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latin typeface="Segoe UI Semibold" panose="020B0702040204020203" pitchFamily="34" charset="0"/>
                <a:cs typeface="Segoe UI Semibold" panose="020B0702040204020203" pitchFamily="34" charset="0"/>
              </a:rPr>
              <a:t>percentage of transactions that are pending, failed, or successful? </a:t>
            </a:r>
          </a:p>
        </c:rich>
      </c:tx>
      <c:layout>
        <c:manualLayout>
          <c:xMode val="edge"/>
          <c:yMode val="edge"/>
          <c:x val="0.14430555555555555"/>
          <c:y val="7.8703703703703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'10. Transaction Status'!$C$12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AE-47BE-B4B0-BF04116882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AE-47BE-B4B0-BF04116882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6AE-47BE-B4B0-BF04116882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'10. Transaction Status'!$B$13:$B$15</c:f>
              <c:strCache>
                <c:ptCount val="3"/>
                <c:pt idx="0">
                  <c:v>Failed</c:v>
                </c:pt>
                <c:pt idx="1">
                  <c:v>Completed</c:v>
                </c:pt>
                <c:pt idx="2">
                  <c:v>Pending</c:v>
                </c:pt>
              </c:strCache>
            </c:strRef>
          </c:cat>
          <c:val>
            <c:numRef>
              <c:f>'10. Transaction Status'!$C$13:$C$15</c:f>
              <c:numCache>
                <c:formatCode>General</c:formatCode>
                <c:ptCount val="3"/>
                <c:pt idx="0">
                  <c:v>343</c:v>
                </c:pt>
                <c:pt idx="1">
                  <c:v>348</c:v>
                </c:pt>
                <c:pt idx="2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C-4A2D-BA2A-70B1B2943A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>
                <a:latin typeface="Segoe UI Semibold" panose="020B0702040204020203" pitchFamily="34" charset="0"/>
                <a:cs typeface="Segoe UI Semibold" panose="020B0702040204020203" pitchFamily="34" charset="0"/>
              </a:rPr>
              <a:t>How does transaction success rate vary across account types?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'10. Transaction Status'!$C$31</c:f>
              <c:strCache>
                <c:ptCount val="1"/>
                <c:pt idx="0">
                  <c:v>Success Rate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4D-44BA-8A8A-89F717D4B5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4D-44BA-8A8A-89F717D4B5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4D-44BA-8A8A-89F717D4B5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'10. Transaction Status'!$B$32:$B$34</c:f>
              <c:strCache>
                <c:ptCount val="3"/>
                <c:pt idx="0">
                  <c:v>Checking</c:v>
                </c:pt>
                <c:pt idx="1">
                  <c:v>Credit</c:v>
                </c:pt>
                <c:pt idx="2">
                  <c:v>Savings</c:v>
                </c:pt>
              </c:strCache>
            </c:strRef>
          </c:cat>
          <c:val>
            <c:numRef>
              <c:f>'10. Transaction Status'!$C$32:$C$34</c:f>
              <c:numCache>
                <c:formatCode>General</c:formatCode>
                <c:ptCount val="3"/>
                <c:pt idx="0">
                  <c:v>117</c:v>
                </c:pt>
                <c:pt idx="1">
                  <c:v>125</c:v>
                </c:pt>
                <c:pt idx="2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7-432C-9126-E8D635722F0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[Analysed.xlsx]11. Customer Engagement!PivotTable9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000">
                <a:latin typeface="Segoe UI Semibold" panose="020B0702040204020203" pitchFamily="34" charset="0"/>
                <a:cs typeface="Segoe UI Semibold" panose="020B0702040204020203" pitchFamily="34" charset="0"/>
              </a:rPr>
              <a:t>what</a:t>
            </a:r>
            <a:r>
              <a:rPr lang="en-US" sz="1000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 is the tranaction pattern of customers daily?</a:t>
            </a:r>
            <a:endParaRPr lang="en-US" sz="1000"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'11. Customer Engagement'!$C$12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'11. Customer Engagement'!$B$13:$B$43</c:f>
              <c:strCache>
                <c:ptCount val="31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'11. Customer Engagement'!$C$13:$C$43</c:f>
              <c:numCache>
                <c:formatCode>General</c:formatCode>
                <c:ptCount val="31"/>
                <c:pt idx="0">
                  <c:v>30</c:v>
                </c:pt>
                <c:pt idx="1">
                  <c:v>29</c:v>
                </c:pt>
                <c:pt idx="2">
                  <c:v>27</c:v>
                </c:pt>
                <c:pt idx="3">
                  <c:v>24</c:v>
                </c:pt>
                <c:pt idx="4">
                  <c:v>40</c:v>
                </c:pt>
                <c:pt idx="5">
                  <c:v>40</c:v>
                </c:pt>
                <c:pt idx="6">
                  <c:v>42</c:v>
                </c:pt>
                <c:pt idx="7">
                  <c:v>38</c:v>
                </c:pt>
                <c:pt idx="8">
                  <c:v>41</c:v>
                </c:pt>
                <c:pt idx="9">
                  <c:v>38</c:v>
                </c:pt>
                <c:pt idx="10">
                  <c:v>35</c:v>
                </c:pt>
                <c:pt idx="11">
                  <c:v>31</c:v>
                </c:pt>
                <c:pt idx="12">
                  <c:v>28</c:v>
                </c:pt>
                <c:pt idx="13">
                  <c:v>22</c:v>
                </c:pt>
                <c:pt idx="14">
                  <c:v>36</c:v>
                </c:pt>
                <c:pt idx="15">
                  <c:v>29</c:v>
                </c:pt>
                <c:pt idx="16">
                  <c:v>34</c:v>
                </c:pt>
                <c:pt idx="17">
                  <c:v>29</c:v>
                </c:pt>
                <c:pt idx="18">
                  <c:v>40</c:v>
                </c:pt>
                <c:pt idx="19">
                  <c:v>36</c:v>
                </c:pt>
                <c:pt idx="20">
                  <c:v>33</c:v>
                </c:pt>
                <c:pt idx="21">
                  <c:v>24</c:v>
                </c:pt>
                <c:pt idx="22">
                  <c:v>31</c:v>
                </c:pt>
                <c:pt idx="23">
                  <c:v>34</c:v>
                </c:pt>
                <c:pt idx="24">
                  <c:v>34</c:v>
                </c:pt>
                <c:pt idx="25">
                  <c:v>33</c:v>
                </c:pt>
                <c:pt idx="26">
                  <c:v>30</c:v>
                </c:pt>
                <c:pt idx="27">
                  <c:v>38</c:v>
                </c:pt>
                <c:pt idx="28">
                  <c:v>25</c:v>
                </c:pt>
                <c:pt idx="29">
                  <c:v>37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C-44BA-800D-97C6E004022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29603695"/>
        <c:axId val="1229604175"/>
      </c:lineChart>
      <c:catAx>
        <c:axId val="1229603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604175"/>
        <c:crosses val="autoZero"/>
        <c:auto val="1"/>
        <c:lblAlgn val="ctr"/>
        <c:lblOffset val="100"/>
        <c:noMultiLvlLbl val="0"/>
      </c:catAx>
      <c:valAx>
        <c:axId val="12296041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9603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[Analysed.xlsx]11. Customer Engagement!PivotTable10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u="none" strike="noStrike" kern="1200" baseline="0">
                <a:solidFill>
                  <a:srgbClr val="0E2841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what is the tranaction pattern of customers monthly?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'11. Customer Engagement'!$C$46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'11. Customer Engagement'!$B$47:$B$58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'11. Customer Engagement'!$C$47:$C$58</c:f>
              <c:numCache>
                <c:formatCode>General</c:formatCode>
                <c:ptCount val="12"/>
                <c:pt idx="0">
                  <c:v>92</c:v>
                </c:pt>
                <c:pt idx="1">
                  <c:v>101</c:v>
                </c:pt>
                <c:pt idx="2">
                  <c:v>88</c:v>
                </c:pt>
                <c:pt idx="3">
                  <c:v>89</c:v>
                </c:pt>
                <c:pt idx="4">
                  <c:v>109</c:v>
                </c:pt>
                <c:pt idx="5">
                  <c:v>91</c:v>
                </c:pt>
                <c:pt idx="6">
                  <c:v>128</c:v>
                </c:pt>
                <c:pt idx="7">
                  <c:v>82</c:v>
                </c:pt>
                <c:pt idx="8">
                  <c:v>55</c:v>
                </c:pt>
                <c:pt idx="9">
                  <c:v>55</c:v>
                </c:pt>
                <c:pt idx="10">
                  <c:v>59</c:v>
                </c:pt>
                <c:pt idx="11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9-4591-A0B3-DA56FAD060B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upDownBars>
          <c:gapWidth val="219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1204387807"/>
        <c:axId val="1204398847"/>
      </c:lineChart>
      <c:catAx>
        <c:axId val="120438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398847"/>
        <c:crosses val="autoZero"/>
        <c:auto val="1"/>
        <c:lblAlgn val="ctr"/>
        <c:lblOffset val="100"/>
        <c:noMultiLvlLbl val="0"/>
      </c:catAx>
      <c:valAx>
        <c:axId val="12043988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0438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[Analysed.xlsx]11. Customer Engagement!PivotTable11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u="none" strike="noStrike" kern="1200" spc="0" baseline="0">
                <a:solidFill>
                  <a:srgbClr val="0E2841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what is the tranaction pattern of customers quartely?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'11. Customer Engagement'!$C$63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'11. Customer Engagement'!$B$64:$B$67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'11. Customer Engagement'!$C$64:$C$67</c:f>
              <c:numCache>
                <c:formatCode>General</c:formatCode>
                <c:ptCount val="4"/>
                <c:pt idx="0">
                  <c:v>281</c:v>
                </c:pt>
                <c:pt idx="1">
                  <c:v>289</c:v>
                </c:pt>
                <c:pt idx="2">
                  <c:v>265</c:v>
                </c:pt>
                <c:pt idx="3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C-4D05-86E0-C7108F8063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22747552"/>
        <c:axId val="1522748512"/>
      </c:lineChart>
      <c:catAx>
        <c:axId val="152274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748512"/>
        <c:crosses val="autoZero"/>
        <c:auto val="1"/>
        <c:lblAlgn val="ctr"/>
        <c:lblOffset val="100"/>
        <c:noMultiLvlLbl val="0"/>
      </c:catAx>
      <c:valAx>
        <c:axId val="15227485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2274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latin typeface="Segoe UI Semibold" panose="020B0702040204020203" pitchFamily="34" charset="0"/>
                <a:cs typeface="Segoe UI Semibold" panose="020B0702040204020203" pitchFamily="34" charset="0"/>
              </a:rPr>
              <a:t>Which account types have the highest levels of active customers?</a:t>
            </a:r>
          </a:p>
        </c:rich>
      </c:tx>
      <c:layout>
        <c:manualLayout>
          <c:xMode val="edge"/>
          <c:yMode val="edge"/>
          <c:x val="0.11675000000000001"/>
          <c:y val="8.3333333333333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'11. Customer Engagement'!$P$11</c:f>
              <c:strCache>
                <c:ptCount val="1"/>
                <c:pt idx="0">
                  <c:v>Status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E9-4949-9FDF-6CA7E9FC80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E9-4949-9FDF-6CA7E9FC80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E9-4949-9FDF-6CA7E9FC80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'11. Customer Engagement'!$O$12:$O$14</c:f>
              <c:strCache>
                <c:ptCount val="3"/>
                <c:pt idx="0">
                  <c:v>Checking</c:v>
                </c:pt>
                <c:pt idx="1">
                  <c:v>Credit</c:v>
                </c:pt>
                <c:pt idx="2">
                  <c:v>Savings</c:v>
                </c:pt>
              </c:strCache>
            </c:strRef>
          </c:cat>
          <c:val>
            <c:numRef>
              <c:f>'11. Customer Engagement'!$P$12:$P$14</c:f>
              <c:numCache>
                <c:formatCode>General</c:formatCode>
                <c:ptCount val="3"/>
                <c:pt idx="0">
                  <c:v>135</c:v>
                </c:pt>
                <c:pt idx="1">
                  <c:v>125</c:v>
                </c:pt>
                <c:pt idx="2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F-4154-A3F0-DD830B543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>
                <a:latin typeface="Segoe UI Semibold" panose="020B0702040204020203" pitchFamily="34" charset="0"/>
                <a:cs typeface="Segoe UI Semibold" panose="020B0702040204020203" pitchFamily="34" charset="0"/>
              </a:rPr>
              <a:t> Are customers with lower monthly incomes struggling to meet loan repayments?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'12. Loan Repayment'!$C$12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 Loan Repayment'!$B$13:$B$15</c:f>
              <c:strCache>
                <c:ptCount val="3"/>
                <c:pt idx="0">
                  <c:v>High Income</c:v>
                </c:pt>
                <c:pt idx="1">
                  <c:v>Middle Income</c:v>
                </c:pt>
                <c:pt idx="2">
                  <c:v>Low Income</c:v>
                </c:pt>
              </c:strCache>
            </c:strRef>
          </c:cat>
          <c:val>
            <c:numRef>
              <c:f>'12. Loan Repayment'!$C$13:$C$15</c:f>
              <c:numCache>
                <c:formatCode>General</c:formatCode>
                <c:ptCount val="3"/>
                <c:pt idx="0">
                  <c:v>754</c:v>
                </c:pt>
                <c:pt idx="1">
                  <c:v>172</c:v>
                </c:pt>
                <c:pt idx="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C-4442-B499-E0EAE10D1AD5}"/>
            </c:ext>
          </c:extLst>
        </c:ser>
        <c:ser>
          <c:idx val="1"/>
          <c:order val="1"/>
          <c:tx>
            <c:strRef>
              <c:f>'12. Loan Repayment'!$D$12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 Loan Repayment'!$B$13:$B$15</c:f>
              <c:strCache>
                <c:ptCount val="3"/>
                <c:pt idx="0">
                  <c:v>High Income</c:v>
                </c:pt>
                <c:pt idx="1">
                  <c:v>Middle Income</c:v>
                </c:pt>
                <c:pt idx="2">
                  <c:v>Low Income</c:v>
                </c:pt>
              </c:strCache>
            </c:strRef>
          </c:cat>
          <c:val>
            <c:numRef>
              <c:f>'12. Loan Repayment'!$D$13:$D$15</c:f>
              <c:numCache>
                <c:formatCode>General</c:formatCode>
                <c:ptCount val="3"/>
                <c:pt idx="0">
                  <c:v>247</c:v>
                </c:pt>
                <c:pt idx="1">
                  <c:v>62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3C-4442-B499-E0EAE10D1A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04849280"/>
        <c:axId val="1404844480"/>
      </c:barChart>
      <c:catAx>
        <c:axId val="140484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844480"/>
        <c:crosses val="autoZero"/>
        <c:auto val="1"/>
        <c:lblAlgn val="ctr"/>
        <c:lblOffset val="100"/>
        <c:noMultiLvlLbl val="0"/>
      </c:catAx>
      <c:valAx>
        <c:axId val="1404844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0484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>
                <a:latin typeface="Segoe UI Semibold" panose="020B0702040204020203" pitchFamily="34" charset="0"/>
                <a:cs typeface="Segoe UI Semibold" panose="020B0702040204020203" pitchFamily="34" charset="0"/>
              </a:rPr>
              <a:t>percentage</a:t>
            </a:r>
            <a:r>
              <a:rPr lang="en-US" sz="800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 of customers who are struggling to meet loan repayments?</a:t>
            </a:r>
            <a:endParaRPr lang="en-US" sz="800"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:rich>
      </c:tx>
      <c:layout>
        <c:manualLayout>
          <c:xMode val="edge"/>
          <c:yMode val="edge"/>
          <c:x val="0.16912502398180496"/>
          <c:y val="7.74122022283527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'12. Loan Repayment'!$E$26</c:f>
              <c:strCache>
                <c:ptCount val="1"/>
                <c:pt idx="0">
                  <c:v>proportion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43-44F9-B466-56585916B6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43-44F9-B466-56585916B6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43-44F9-B466-56585916B6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'12. Loan Repayment'!$B$27:$B$29</c:f>
              <c:strCache>
                <c:ptCount val="3"/>
                <c:pt idx="0">
                  <c:v>High Income</c:v>
                </c:pt>
                <c:pt idx="1">
                  <c:v>Middle Income</c:v>
                </c:pt>
                <c:pt idx="2">
                  <c:v>Low Income</c:v>
                </c:pt>
              </c:strCache>
            </c:strRef>
          </c:cat>
          <c:val>
            <c:numRef>
              <c:f>'12. Loan Repayment'!$E$27:$E$29</c:f>
              <c:numCache>
                <c:formatCode>0%</c:formatCode>
                <c:ptCount val="3"/>
                <c:pt idx="0">
                  <c:v>0.32758620689655171</c:v>
                </c:pt>
                <c:pt idx="1">
                  <c:v>0.36046511627906974</c:v>
                </c:pt>
                <c:pt idx="2">
                  <c:v>0.45945945945945948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A-440A-8F4A-87D8CC245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>
                <a:latin typeface="Segoe UI Semibold" panose="020B0702040204020203" pitchFamily="34" charset="0"/>
                <a:cs typeface="Segoe UI Semibold" panose="020B0702040204020203" pitchFamily="34" charset="0"/>
              </a:rPr>
              <a:t>Does loan repayment behavior differ by employment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'12. Loan Repayment'!$C$49</c:f>
              <c:strCache>
                <c:ptCount val="1"/>
                <c:pt idx="0">
                  <c:v>on time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 Loan Repayment'!$B$50:$B$52</c:f>
              <c:strCache>
                <c:ptCount val="3"/>
                <c:pt idx="0">
                  <c:v>Self-employed</c:v>
                </c:pt>
                <c:pt idx="1">
                  <c:v>Unemployed</c:v>
                </c:pt>
                <c:pt idx="2">
                  <c:v>Employed</c:v>
                </c:pt>
              </c:strCache>
            </c:strRef>
          </c:cat>
          <c:val>
            <c:numRef>
              <c:f>'12. Loan Repayment'!$C$50:$C$52</c:f>
              <c:numCache>
                <c:formatCode>General</c:formatCode>
                <c:ptCount val="3"/>
                <c:pt idx="0">
                  <c:v>225</c:v>
                </c:pt>
                <c:pt idx="1">
                  <c:v>231</c:v>
                </c:pt>
                <c:pt idx="2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8-49E2-B863-BD44C55ACD56}"/>
            </c:ext>
          </c:extLst>
        </c:ser>
        <c:ser>
          <c:idx val="1"/>
          <c:order val="1"/>
          <c:tx>
            <c:strRef>
              <c:f>'12. Loan Repayment'!$D$49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'12. Loan Repayment'!$B$50:$B$52</c:f>
              <c:strCache>
                <c:ptCount val="3"/>
                <c:pt idx="0">
                  <c:v>Self-employed</c:v>
                </c:pt>
                <c:pt idx="1">
                  <c:v>Unemployed</c:v>
                </c:pt>
                <c:pt idx="2">
                  <c:v>Employed</c:v>
                </c:pt>
              </c:strCache>
            </c:strRef>
          </c:cat>
          <c:val>
            <c:numRef>
              <c:f>'12. Loan Repayment'!$D$50:$D$52</c:f>
              <c:numCache>
                <c:formatCode>General</c:formatCode>
                <c:ptCount val="3"/>
                <c:pt idx="0">
                  <c:v>106</c:v>
                </c:pt>
                <c:pt idx="1">
                  <c:v>119</c:v>
                </c:pt>
                <c:pt idx="2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8-49E2-B863-BD44C55ACD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49191167"/>
        <c:axId val="1549187327"/>
      </c:barChart>
      <c:catAx>
        <c:axId val="154919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187327"/>
        <c:crosses val="autoZero"/>
        <c:auto val="1"/>
        <c:lblAlgn val="ctr"/>
        <c:lblOffset val="100"/>
        <c:noMultiLvlLbl val="0"/>
      </c:catAx>
      <c:valAx>
        <c:axId val="154918732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54919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0" i="0" u="none" strike="noStrike" baseline="0">
                <a:latin typeface="Segoe UI Semibold" panose="020B0702040204020203" pitchFamily="34" charset="0"/>
                <a:cs typeface="Segoe UI Semibold" panose="020B0702040204020203" pitchFamily="34" charset="0"/>
              </a:rPr>
              <a:t>Account Type Distribution by Income Demographics</a:t>
            </a:r>
            <a:endParaRPr lang="en-US" sz="1000"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:rich>
      </c:tx>
      <c:layout>
        <c:manualLayout>
          <c:xMode val="edge"/>
          <c:yMode val="edge"/>
          <c:x val="0.15313888888888885"/>
          <c:y val="9.72222222222222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'13. Product Development'!$C$17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5D-468C-8F8A-6DE5A68B8A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5D-468C-8F8A-6DE5A68B8A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5D-468C-8F8A-6DE5A68B8A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'13. Product Development'!$B$18:$B$20</c:f>
              <c:strCache>
                <c:ptCount val="3"/>
                <c:pt idx="0">
                  <c:v>Checking</c:v>
                </c:pt>
                <c:pt idx="1">
                  <c:v>Credit</c:v>
                </c:pt>
                <c:pt idx="2">
                  <c:v>Savings</c:v>
                </c:pt>
              </c:strCache>
            </c:strRef>
          </c:cat>
          <c:val>
            <c:numRef>
              <c:f>'13. Product Development'!$C$18:$C$20</c:f>
              <c:numCache>
                <c:formatCode>General</c:formatCode>
                <c:ptCount val="3"/>
                <c:pt idx="0">
                  <c:v>62</c:v>
                </c:pt>
                <c:pt idx="1">
                  <c:v>54</c:v>
                </c:pt>
                <c:pt idx="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8-4A0E-9EBB-C658F0E5E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Account Type Distribution by Income Demographics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000"/>
          </a:p>
        </c:rich>
      </c:tx>
      <c:layout>
        <c:manualLayout>
          <c:xMode val="edge"/>
          <c:yMode val="edge"/>
          <c:x val="0.13416666666666666"/>
          <c:y val="9.2592592592592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'13. Product Development'!$C$34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757-4F12-8585-7B52D6D49C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757-4F12-8585-7B52D6D49C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757-4F12-8585-7B52D6D49C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'13. Product Development'!$B$35:$B$37</c:f>
              <c:strCache>
                <c:ptCount val="3"/>
                <c:pt idx="0">
                  <c:v>Checking</c:v>
                </c:pt>
                <c:pt idx="1">
                  <c:v>Credit</c:v>
                </c:pt>
                <c:pt idx="2">
                  <c:v>Savings</c:v>
                </c:pt>
              </c:strCache>
            </c:strRef>
          </c:cat>
          <c:val>
            <c:numRef>
              <c:f>'13. Product Development'!$C$35:$C$37</c:f>
              <c:numCache>
                <c:formatCode>General</c:formatCode>
                <c:ptCount val="3"/>
                <c:pt idx="0">
                  <c:v>41</c:v>
                </c:pt>
                <c:pt idx="1">
                  <c:v>61</c:v>
                </c:pt>
                <c:pt idx="2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9-41D3-B773-ECB947FDB32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latin typeface="Segoe UI Semibold" panose="020B0702040204020203" pitchFamily="34" charset="0"/>
                <a:cs typeface="Segoe UI Semibold" panose="020B0702040204020203" pitchFamily="34" charset="0"/>
              </a:rPr>
              <a:t>Gaps in the market by income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'13. Product Development'!$C$56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'13. Product Development'!$B$57:$B$59</c:f>
              <c:strCache>
                <c:ptCount val="3"/>
                <c:pt idx="0">
                  <c:v>High Income</c:v>
                </c:pt>
                <c:pt idx="1">
                  <c:v>Middle Income</c:v>
                </c:pt>
                <c:pt idx="2">
                  <c:v>Low Income</c:v>
                </c:pt>
              </c:strCache>
            </c:strRef>
          </c:cat>
          <c:val>
            <c:numRef>
              <c:f>'13. Product Development'!$C$57:$C$59</c:f>
              <c:numCache>
                <c:formatCode>General</c:formatCode>
                <c:ptCount val="3"/>
                <c:pt idx="0">
                  <c:v>754</c:v>
                </c:pt>
                <c:pt idx="1">
                  <c:v>172</c:v>
                </c:pt>
                <c:pt idx="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F-4858-BBD4-0FDF60A948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3633727"/>
        <c:axId val="883635647"/>
      </c:barChart>
      <c:catAx>
        <c:axId val="88363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35647"/>
        <c:crosses val="autoZero"/>
        <c:auto val="1"/>
        <c:lblAlgn val="ctr"/>
        <c:lblOffset val="100"/>
        <c:noMultiLvlLbl val="0"/>
      </c:catAx>
      <c:valAx>
        <c:axId val="883635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3633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Gaps in the market by account type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'13. Product Development'!$C$64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'13. Product Development'!$B$65:$B$67</c:f>
              <c:strCache>
                <c:ptCount val="3"/>
                <c:pt idx="0">
                  <c:v>Checking</c:v>
                </c:pt>
                <c:pt idx="1">
                  <c:v>Credit</c:v>
                </c:pt>
                <c:pt idx="2">
                  <c:v>Savings</c:v>
                </c:pt>
              </c:strCache>
            </c:strRef>
          </c:cat>
          <c:val>
            <c:numRef>
              <c:f>'13. Product Development'!$C$65:$C$67</c:f>
              <c:numCache>
                <c:formatCode>General</c:formatCode>
                <c:ptCount val="3"/>
                <c:pt idx="0">
                  <c:v>345</c:v>
                </c:pt>
                <c:pt idx="1">
                  <c:v>343</c:v>
                </c:pt>
                <c:pt idx="2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4-4AA8-91BF-18321A5059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83646687"/>
        <c:axId val="883653887"/>
      </c:barChart>
      <c:catAx>
        <c:axId val="883646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53887"/>
        <c:crosses val="autoZero"/>
        <c:auto val="1"/>
        <c:lblAlgn val="ctr"/>
        <c:lblOffset val="100"/>
        <c:noMultiLvlLbl val="0"/>
      </c:catAx>
      <c:valAx>
        <c:axId val="8836538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3646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>
                <a:latin typeface="Segoe UI Semibold" panose="020B0702040204020203" pitchFamily="34" charset="0"/>
                <a:cs typeface="Segoe UI Semibold" panose="020B0702040204020203" pitchFamily="34" charset="0"/>
              </a:rPr>
              <a:t>What transaction types are most popular?</a:t>
            </a:r>
          </a:p>
        </c:rich>
      </c:tx>
      <c:layout>
        <c:manualLayout>
          <c:xMode val="edge"/>
          <c:yMode val="edge"/>
          <c:x val="0.21964566929133858"/>
          <c:y val="7.8703703703703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'14. Growth Opportunities'!$C$39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49-4431-BDA0-CE2EA01A3D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49-4431-BDA0-CE2EA01A3D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C49-4431-BDA0-CE2EA01A3D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C49-4431-BDA0-CE2EA01A3D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'14. Growth Opportunities'!$B$40:$B$43</c:f>
              <c:strCache>
                <c:ptCount val="4"/>
                <c:pt idx="0">
                  <c:v>Payment</c:v>
                </c:pt>
                <c:pt idx="1">
                  <c:v>Withdrawal</c:v>
                </c:pt>
                <c:pt idx="2">
                  <c:v>Transfer</c:v>
                </c:pt>
                <c:pt idx="3">
                  <c:v>Deposit</c:v>
                </c:pt>
              </c:strCache>
            </c:strRef>
          </c:cat>
          <c:val>
            <c:numRef>
              <c:f>'14. Growth Opportunities'!$C$40:$C$43</c:f>
              <c:numCache>
                <c:formatCode>General</c:formatCode>
                <c:ptCount val="4"/>
                <c:pt idx="0">
                  <c:v>273</c:v>
                </c:pt>
                <c:pt idx="1">
                  <c:v>261</c:v>
                </c:pt>
                <c:pt idx="2">
                  <c:v>224</c:v>
                </c:pt>
                <c:pt idx="3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D-40BC-947E-41528310C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Employment Status Distribution of Customers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lang="en-US" sz="10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Segoe UI Light" panose="020B0502040204020203" pitchFamily="34" charset="0"/>
              <a:ea typeface="+mn-ea"/>
              <a:cs typeface="Segoe UI Light" panose="020B0502040204020203" pitchFamily="34" charset="0"/>
            </a:defRPr>
          </a:pPr>
          <a:r>
            <a:rPr lang="en-US" sz="10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Segoe UI Light" panose="020B0502040204020203" pitchFamily="34" charset="0"/>
              <a:ea typeface="+mn-ea"/>
              <a:cs typeface="Segoe UI Light" panose="020B0502040204020203" pitchFamily="34" charset="0"/>
            </a:rPr>
            <a:t>Employment Status Distribution of Customers</a:t>
          </a:r>
        </a:p>
      </cx:txPr>
    </cx:title>
    <cx:plotArea>
      <cx:plotAreaRegion>
        <cx:series layoutId="funnel" uniqueId="{4D9EB0FE-73C1-41AE-ABFD-BD1D74F1CF0F}">
          <cx:tx>
            <cx:txData>
              <cx:f>_xlchart.v2.1</cx:f>
              <cx:v>Count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lang="en-US" sz="1000" b="1" i="0" u="none" strike="noStrike" kern="1200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  <a:latin typeface="Segoe UI Light" panose="020B0502040204020203" pitchFamily="34" charset="0"/>
                    <a:ea typeface="+mn-ea"/>
                    <a:cs typeface="Segoe UI Light" panose="020B0502040204020203" pitchFamily="34" charset="0"/>
                  </a:defRPr>
                </a:pPr>
                <a:endParaRPr lang="en-US" sz="1000" b="1" i="0" u="none" strike="noStrike" kern="1200" spc="100" baseline="0">
                  <a:solidFill>
                    <a:sysClr val="window" lastClr="FFFFFF">
                      <a:lumMod val="95000"/>
                    </a:sysClr>
                  </a:solidFill>
                  <a:effectLst>
                    <a:outerShdw blurRad="50800" dist="38100" dir="5400000" algn="t" rotWithShape="0">
                      <a:prstClr val="black">
                        <a:alpha val="40000"/>
                      </a:prstClr>
                    </a:outerShdw>
                  </a:effectLst>
                  <a:latin typeface="Segoe UI Light" panose="020B0502040204020203" pitchFamily="34" charset="0"/>
                  <a:ea typeface="+mn-ea"/>
                  <a:cs typeface="Segoe UI Light" panose="020B0502040204020203" pitchFamily="34" charset="0"/>
                </a:endParaRPr>
              </a:p>
            </cx:txPr>
            <cx:visibility seriesName="0" categoryName="1" value="1"/>
            <cx:separator>, </cx:separator>
          </cx:dataLabels>
          <cx:dataId val="0"/>
        </cx:series>
      </cx:plotAreaRegion>
      <cx:axis id="0" hidden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10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 sz="10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cx:txPr>
      </cx:axis>
      <cx:axis id="1" hidden="1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10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n-US" sz="10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title pos="t" align="ctr" overlay="0">
      <cx:tx>
        <cx:txData>
          <cx:v>what is the distribution of customer credit scores?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 b="1">
              <a:latin typeface="Segoe UI Semibold" panose="020B0702040204020203" pitchFamily="34" charset="0"/>
              <a:ea typeface="Segoe UI Semibold" panose="020B0702040204020203" pitchFamily="34" charset="0"/>
              <a:cs typeface="Segoe UI Semibold" panose="020B0702040204020203" pitchFamily="34" charset="0"/>
            </a:defRPr>
          </a:pPr>
          <a:r>
            <a:rPr lang="en-US" sz="11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what is the distribution of customer credit scores?</a:t>
          </a:r>
        </a:p>
      </cx:txPr>
    </cx:title>
    <cx:plotArea>
      <cx:plotAreaRegion>
        <cx:series layoutId="clusteredColumn" uniqueId="{3E5749C5-BBAB-44D2-916B-F9364FBA6E92}">
          <cx:spPr>
            <a:solidFill>
              <a:srgbClr val="674636"/>
            </a:solidFill>
          </cx:spPr>
          <cx:dataId val="0"/>
          <cx:layoutPr>
            <cx:aggregation/>
          </cx:layoutPr>
          <cx:axisId val="1"/>
        </cx:series>
        <cx:series layoutId="paretoLine" ownerIdx="0" uniqueId="{4E5E93F9-C4AC-4529-B9C8-60C91CC5A05E}"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atin typeface="Segoe UI Semibold" panose="020B0702040204020203" pitchFamily="34" charset="0"/>
                <a:ea typeface="Segoe UI Semibold" panose="020B0702040204020203" pitchFamily="34" charset="0"/>
                <a:cs typeface="Segoe UI Semibold" panose="020B0702040204020203" pitchFamily="34" charset="0"/>
              </a:defRPr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cx:txPr>
      </cx:axis>
      <cx:axis id="1">
        <cx:valScaling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2.png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image" Target="../media/image5.png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microsoft.com/office/2014/relationships/chartEx" Target="../charts/chartEx2.xml"/><Relationship Id="rId1" Type="http://schemas.openxmlformats.org/officeDocument/2006/relationships/image" Target="../media/image7.png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image" Target="../media/image11.png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image" Target="../media/image12.png"/><Relationship Id="rId4" Type="http://schemas.openxmlformats.org/officeDocument/2006/relationships/chart" Target="../charts/chart3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image" Target="../media/image13.png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123439</xdr:colOff>
      <xdr:row>14</xdr:row>
      <xdr:rowOff>28961</xdr:rowOff>
    </xdr:from>
    <xdr:to>
      <xdr:col>9</xdr:col>
      <xdr:colOff>41542</xdr:colOff>
      <xdr:row>26</xdr:row>
      <xdr:rowOff>148364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652CE3-2707-257A-85C8-B82ADE7CD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50799</xdr:colOff>
      <xdr:row>29</xdr:row>
      <xdr:rowOff>19049</xdr:rowOff>
    </xdr:from>
    <xdr:to>
      <xdr:col>9</xdr:col>
      <xdr:colOff>68856</xdr:colOff>
      <xdr:row>40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A59FE-6DBE-7F7A-ED99-74827B6F6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201474</xdr:colOff>
      <xdr:row>44</xdr:row>
      <xdr:rowOff>110435</xdr:rowOff>
    </xdr:from>
    <xdr:to>
      <xdr:col>9</xdr:col>
      <xdr:colOff>421033</xdr:colOff>
      <xdr:row>59</xdr:row>
      <xdr:rowOff>24602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A0781F-2EEB-8BF2-67CF-62AB9769AE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7624" y="8384485"/>
              <a:ext cx="5331309" cy="26954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169123</xdr:colOff>
      <xdr:row>62</xdr:row>
      <xdr:rowOff>127881</xdr:rowOff>
    </xdr:from>
    <xdr:to>
      <xdr:col>10</xdr:col>
      <xdr:colOff>546979</xdr:colOff>
      <xdr:row>78</xdr:row>
      <xdr:rowOff>50296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1960888-3750-3127-D75C-E8A870CDE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590361</xdr:colOff>
      <xdr:row>83</xdr:row>
      <xdr:rowOff>83870</xdr:rowOff>
    </xdr:from>
    <xdr:to>
      <xdr:col>9</xdr:col>
      <xdr:colOff>44638</xdr:colOff>
      <xdr:row>98</xdr:row>
      <xdr:rowOff>92169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364AE8-8AA3-CD0E-F5DB-FF755084B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594033</xdr:colOff>
      <xdr:row>0</xdr:row>
      <xdr:rowOff>143387</xdr:rowOff>
    </xdr:from>
    <xdr:to>
      <xdr:col>6</xdr:col>
      <xdr:colOff>798872</xdr:colOff>
      <xdr:row>7</xdr:row>
      <xdr:rowOff>122903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1BBE36-784A-ACF5-6450-8950D0DEC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5162" y="143387"/>
          <a:ext cx="1270000" cy="127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524901</xdr:colOff>
      <xdr:row>2</xdr:row>
      <xdr:rowOff>88392</xdr:rowOff>
    </xdr:from>
    <xdr:to>
      <xdr:col>6</xdr:col>
      <xdr:colOff>613674</xdr:colOff>
      <xdr:row>7</xdr:row>
      <xdr:rowOff>69780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DF17B0-D26C-752A-2E3A-B0EC7E1F9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4132" y="451249"/>
          <a:ext cx="1156411" cy="888531"/>
        </a:xfrm>
        <a:prstGeom prst="rect">
          <a:avLst/>
        </a:prstGeom>
      </xdr:spPr>
    </xdr:pic>
    <xdr:clientData/>
  </xdr:twoCellAnchor>
  <xdr:twoCellAnchor>
    <xdr:from>
      <xdr:col>8</xdr:col>
      <xdr:colOff>193675</xdr:colOff>
      <xdr:row>11</xdr:row>
      <xdr:rowOff>41275</xdr:rowOff>
    </xdr:from>
    <xdr:to>
      <xdr:col>15</xdr:col>
      <xdr:colOff>498475</xdr:colOff>
      <xdr:row>26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D6D2A1-E6CD-2934-F189-3B40C7887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97770</xdr:colOff>
      <xdr:row>28</xdr:row>
      <xdr:rowOff>47233</xdr:rowOff>
    </xdr:from>
    <xdr:to>
      <xdr:col>9</xdr:col>
      <xdr:colOff>325585</xdr:colOff>
      <xdr:row>43</xdr:row>
      <xdr:rowOff>28183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94292A-BB00-E852-F047-D164636C7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132891</xdr:colOff>
      <xdr:row>46</xdr:row>
      <xdr:rowOff>179895</xdr:rowOff>
    </xdr:from>
    <xdr:to>
      <xdr:col>12</xdr:col>
      <xdr:colOff>602268</xdr:colOff>
      <xdr:row>64</xdr:row>
      <xdr:rowOff>72010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395506-B03C-230C-9192-B97F12F7B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490683</xdr:colOff>
      <xdr:row>2</xdr:row>
      <xdr:rowOff>105833</xdr:rowOff>
    </xdr:from>
    <xdr:to>
      <xdr:col>8</xdr:col>
      <xdr:colOff>298258</xdr:colOff>
      <xdr:row>6</xdr:row>
      <xdr:rowOff>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F859E0-9D03-56EC-A562-8896F52CB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0304" y="471439"/>
          <a:ext cx="1019848" cy="634711"/>
        </a:xfrm>
        <a:prstGeom prst="rect">
          <a:avLst/>
        </a:prstGeom>
      </xdr:spPr>
    </xdr:pic>
    <xdr:clientData/>
  </xdr:twoCellAnchor>
  <xdr:twoCellAnchor>
    <xdr:from>
      <xdr:col>4</xdr:col>
      <xdr:colOff>624975</xdr:colOff>
      <xdr:row>11</xdr:row>
      <xdr:rowOff>172453</xdr:rowOff>
    </xdr:from>
    <xdr:to>
      <xdr:col>14</xdr:col>
      <xdr:colOff>140370</xdr:colOff>
      <xdr:row>27</xdr:row>
      <xdr:rowOff>13369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20F5B8-E358-63A2-7206-892F86A62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731922</xdr:colOff>
      <xdr:row>34</xdr:row>
      <xdr:rowOff>65504</xdr:rowOff>
    </xdr:from>
    <xdr:to>
      <xdr:col>8</xdr:col>
      <xdr:colOff>454527</xdr:colOff>
      <xdr:row>46</xdr:row>
      <xdr:rowOff>13369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5BDE8-8506-12CA-CBF4-F7657BC1A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229525</xdr:colOff>
      <xdr:row>2</xdr:row>
      <xdr:rowOff>107461</xdr:rowOff>
    </xdr:from>
    <xdr:to>
      <xdr:col>7</xdr:col>
      <xdr:colOff>605448</xdr:colOff>
      <xdr:row>6</xdr:row>
      <xdr:rowOff>109903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4CA480-874C-9A05-9FC9-1852A0BBE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8996" y="473807"/>
          <a:ext cx="986499" cy="735134"/>
        </a:xfrm>
        <a:prstGeom prst="rect">
          <a:avLst/>
        </a:prstGeom>
      </xdr:spPr>
    </xdr:pic>
    <xdr:clientData/>
  </xdr:twoCellAnchor>
  <xdr:twoCellAnchor>
    <xdr:from>
      <xdr:col>3</xdr:col>
      <xdr:colOff>463261</xdr:colOff>
      <xdr:row>52</xdr:row>
      <xdr:rowOff>46327</xdr:rowOff>
    </xdr:from>
    <xdr:to>
      <xdr:col>11</xdr:col>
      <xdr:colOff>186170</xdr:colOff>
      <xdr:row>66</xdr:row>
      <xdr:rowOff>162936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CA7EFF-E3EB-C08A-7AFC-FBE7A693A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217367</xdr:colOff>
      <xdr:row>71</xdr:row>
      <xdr:rowOff>178988</xdr:rowOff>
    </xdr:from>
    <xdr:to>
      <xdr:col>10</xdr:col>
      <xdr:colOff>546412</xdr:colOff>
      <xdr:row>87</xdr:row>
      <xdr:rowOff>107984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0EA3A7-8082-357D-005F-5610A78F1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508000</xdr:colOff>
      <xdr:row>1</xdr:row>
      <xdr:rowOff>139700</xdr:rowOff>
    </xdr:from>
    <xdr:to>
      <xdr:col>6</xdr:col>
      <xdr:colOff>520700</xdr:colOff>
      <xdr:row>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B21DD6-F6E7-51AD-7D21-EF6E47FE5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5900" y="323850"/>
          <a:ext cx="1231900" cy="800100"/>
        </a:xfrm>
        <a:prstGeom prst="rect">
          <a:avLst/>
        </a:prstGeom>
      </xdr:spPr>
    </xdr:pic>
    <xdr:clientData/>
  </xdr:twoCellAnchor>
  <xdr:twoCellAnchor>
    <xdr:from>
      <xdr:col>4</xdr:col>
      <xdr:colOff>485775</xdr:colOff>
      <xdr:row>13</xdr:row>
      <xdr:rowOff>53975</xdr:rowOff>
    </xdr:from>
    <xdr:to>
      <xdr:col>12</xdr:col>
      <xdr:colOff>180975</xdr:colOff>
      <xdr:row>28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683695-6850-B317-2385-E35997494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561974</xdr:colOff>
      <xdr:row>32</xdr:row>
      <xdr:rowOff>41275</xdr:rowOff>
    </xdr:from>
    <xdr:to>
      <xdr:col>13</xdr:col>
      <xdr:colOff>190499</xdr:colOff>
      <xdr:row>47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B02063-FA56-165E-9725-8E380D1CB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320014</xdr:colOff>
      <xdr:row>69</xdr:row>
      <xdr:rowOff>90157</xdr:rowOff>
    </xdr:from>
    <xdr:to>
      <xdr:col>11</xdr:col>
      <xdr:colOff>531614</xdr:colOff>
      <xdr:row>84</xdr:row>
      <xdr:rowOff>98456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55BF6E-FF3D-438E-C640-A1AE8A6FF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546350</xdr:colOff>
      <xdr:row>88</xdr:row>
      <xdr:rowOff>71296</xdr:rowOff>
    </xdr:from>
    <xdr:to>
      <xdr:col>11</xdr:col>
      <xdr:colOff>239539</xdr:colOff>
      <xdr:row>103</xdr:row>
      <xdr:rowOff>79595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172D03-345C-7895-F4BC-EB97CCC01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380999</xdr:colOff>
      <xdr:row>1</xdr:row>
      <xdr:rowOff>146049</xdr:rowOff>
    </xdr:from>
    <xdr:to>
      <xdr:col>7</xdr:col>
      <xdr:colOff>346936</xdr:colOff>
      <xdr:row>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595934-B804-401D-96CA-073AB077C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0649" y="330199"/>
          <a:ext cx="1270001" cy="673101"/>
        </a:xfrm>
        <a:prstGeom prst="rect">
          <a:avLst/>
        </a:prstGeom>
      </xdr:spPr>
    </xdr:pic>
    <xdr:clientData/>
  </xdr:twoCellAnchor>
  <xdr:twoCellAnchor>
    <xdr:from>
      <xdr:col>7</xdr:col>
      <xdr:colOff>66675</xdr:colOff>
      <xdr:row>17</xdr:row>
      <xdr:rowOff>142875</xdr:rowOff>
    </xdr:from>
    <xdr:to>
      <xdr:col>14</xdr:col>
      <xdr:colOff>168275</xdr:colOff>
      <xdr:row>32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67AFE8-4BFF-E324-94D2-C24DDE66E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153147</xdr:colOff>
      <xdr:row>36</xdr:row>
      <xdr:rowOff>9278</xdr:rowOff>
    </xdr:from>
    <xdr:to>
      <xdr:col>9</xdr:col>
      <xdr:colOff>434375</xdr:colOff>
      <xdr:row>51</xdr:row>
      <xdr:rowOff>112412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47ADCA-B5F3-216F-190F-CF4258C8A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</xdr:row>
      <xdr:rowOff>139700</xdr:rowOff>
    </xdr:from>
    <xdr:to>
      <xdr:col>5</xdr:col>
      <xdr:colOff>679450</xdr:colOff>
      <xdr:row>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DD4F5B-C743-50F2-B33C-9116D125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323850"/>
          <a:ext cx="1174750" cy="76835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</xdr:row>
      <xdr:rowOff>174625</xdr:rowOff>
    </xdr:from>
    <xdr:to>
      <xdr:col>10</xdr:col>
      <xdr:colOff>314325</xdr:colOff>
      <xdr:row>26</xdr:row>
      <xdr:rowOff>155575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C387B3D-C792-64C8-4C25-0B50F1719B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90725" y="2200275"/>
              <a:ext cx="4419600" cy="276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168275</xdr:colOff>
      <xdr:row>27</xdr:row>
      <xdr:rowOff>117475</xdr:rowOff>
    </xdr:from>
    <xdr:to>
      <xdr:col>10</xdr:col>
      <xdr:colOff>473075</xdr:colOff>
      <xdr:row>42</xdr:row>
      <xdr:rowOff>98425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08218E-97BE-96B7-0072-83A203085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314325</xdr:colOff>
      <xdr:row>45</xdr:row>
      <xdr:rowOff>34925</xdr:rowOff>
    </xdr:from>
    <xdr:to>
      <xdr:col>13</xdr:col>
      <xdr:colOff>479425</xdr:colOff>
      <xdr:row>60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031E32-B788-BF49-BFDF-6EA305C12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212725</xdr:colOff>
      <xdr:row>64</xdr:row>
      <xdr:rowOff>34925</xdr:rowOff>
    </xdr:from>
    <xdr:to>
      <xdr:col>11</xdr:col>
      <xdr:colOff>339725</xdr:colOff>
      <xdr:row>79</xdr:row>
      <xdr:rowOff>15875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89AEBF-3C87-C262-34A0-4B4BAB89E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117475</xdr:colOff>
      <xdr:row>83</xdr:row>
      <xdr:rowOff>130175</xdr:rowOff>
    </xdr:from>
    <xdr:to>
      <xdr:col>11</xdr:col>
      <xdr:colOff>244475</xdr:colOff>
      <xdr:row>98</xdr:row>
      <xdr:rowOff>111125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7EBCDA-33EE-7B7F-1BFE-5310FAAA5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1</xdr:row>
      <xdr:rowOff>28307</xdr:rowOff>
    </xdr:from>
    <xdr:to>
      <xdr:col>5</xdr:col>
      <xdr:colOff>584200</xdr:colOff>
      <xdr:row>4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1F6498-5C47-9E44-EABF-9C63B71A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6100" y="212457"/>
          <a:ext cx="546100" cy="524144"/>
        </a:xfrm>
        <a:prstGeom prst="rect">
          <a:avLst/>
        </a:prstGeom>
      </xdr:spPr>
    </xdr:pic>
    <xdr:clientData/>
  </xdr:twoCellAnchor>
  <xdr:twoCellAnchor>
    <xdr:from>
      <xdr:col>15</xdr:col>
      <xdr:colOff>662780</xdr:colOff>
      <xdr:row>11</xdr:row>
      <xdr:rowOff>49213</xdr:rowOff>
    </xdr:from>
    <xdr:to>
      <xdr:col>18</xdr:col>
      <xdr:colOff>218280</xdr:colOff>
      <xdr:row>26</xdr:row>
      <xdr:rowOff>53975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4D85B7-3871-E8AD-23D9-92DFB67D3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838200</xdr:colOff>
      <xdr:row>2</xdr:row>
      <xdr:rowOff>139699</xdr:rowOff>
    </xdr:from>
    <xdr:to>
      <xdr:col>5</xdr:col>
      <xdr:colOff>692831</xdr:colOff>
      <xdr:row>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00B69F-E0F2-2FC7-FD9F-C2894636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507999"/>
          <a:ext cx="813481" cy="495301"/>
        </a:xfrm>
        <a:prstGeom prst="rect">
          <a:avLst/>
        </a:prstGeom>
      </xdr:spPr>
    </xdr:pic>
    <xdr:clientData/>
  </xdr:twoCellAnchor>
  <xdr:twoCellAnchor>
    <xdr:from>
      <xdr:col>9</xdr:col>
      <xdr:colOff>104775</xdr:colOff>
      <xdr:row>11</xdr:row>
      <xdr:rowOff>3175</xdr:rowOff>
    </xdr:from>
    <xdr:to>
      <xdr:col>15</xdr:col>
      <xdr:colOff>104775</xdr:colOff>
      <xdr:row>25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8D449-77CE-EB89-9EFA-74012EB76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177800</xdr:colOff>
      <xdr:row>2</xdr:row>
      <xdr:rowOff>82550</xdr:rowOff>
    </xdr:from>
    <xdr:to>
      <xdr:col>6</xdr:col>
      <xdr:colOff>565150</xdr:colOff>
      <xdr:row>5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A846E-B254-A522-5D39-6CA517A3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5800" y="450850"/>
          <a:ext cx="996950" cy="565150"/>
        </a:xfrm>
        <a:prstGeom prst="rect">
          <a:avLst/>
        </a:prstGeom>
      </xdr:spPr>
    </xdr:pic>
    <xdr:clientData/>
  </xdr:twoCellAnchor>
  <xdr:twoCellAnchor>
    <xdr:from>
      <xdr:col>3</xdr:col>
      <xdr:colOff>231775</xdr:colOff>
      <xdr:row>10</xdr:row>
      <xdr:rowOff>98425</xdr:rowOff>
    </xdr:from>
    <xdr:to>
      <xdr:col>10</xdr:col>
      <xdr:colOff>536575</xdr:colOff>
      <xdr:row>25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EAC30-E0FD-8E1E-22C5-39FF36D0B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466725</xdr:colOff>
      <xdr:row>29</xdr:row>
      <xdr:rowOff>136525</xdr:rowOff>
    </xdr:from>
    <xdr:to>
      <xdr:col>11</xdr:col>
      <xdr:colOff>161925</xdr:colOff>
      <xdr:row>44</xdr:row>
      <xdr:rowOff>92075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806432-DA09-EDDB-49B6-4D2C3F807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361950</xdr:colOff>
      <xdr:row>2</xdr:row>
      <xdr:rowOff>95249</xdr:rowOff>
    </xdr:from>
    <xdr:to>
      <xdr:col>7</xdr:col>
      <xdr:colOff>501651</xdr:colOff>
      <xdr:row>5</xdr:row>
      <xdr:rowOff>107950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823CDE-C745-9BA4-9C1E-050F44315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9550" y="463549"/>
          <a:ext cx="749301" cy="565151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10</xdr:row>
      <xdr:rowOff>161925</xdr:rowOff>
    </xdr:from>
    <xdr:to>
      <xdr:col>10</xdr:col>
      <xdr:colOff>561975</xdr:colOff>
      <xdr:row>25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495FF8-28F7-8324-E30E-A31D26C71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434975</xdr:colOff>
      <xdr:row>43</xdr:row>
      <xdr:rowOff>85725</xdr:rowOff>
    </xdr:from>
    <xdr:to>
      <xdr:col>11</xdr:col>
      <xdr:colOff>130175</xdr:colOff>
      <xdr:row>58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C5712B-6CA1-E106-3EAB-C4B8FE19E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390525</xdr:colOff>
      <xdr:row>61</xdr:row>
      <xdr:rowOff>142875</xdr:rowOff>
    </xdr:from>
    <xdr:to>
      <xdr:col>11</xdr:col>
      <xdr:colOff>85725</xdr:colOff>
      <xdr:row>76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47D9CE-845E-EE15-6ABA-2B941A395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206375</xdr:colOff>
      <xdr:row>9</xdr:row>
      <xdr:rowOff>136525</xdr:rowOff>
    </xdr:from>
    <xdr:to>
      <xdr:col>23</xdr:col>
      <xdr:colOff>511175</xdr:colOff>
      <xdr:row>24</xdr:row>
      <xdr:rowOff>98425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45E2EE8-DD13-F7B0-FE2E-DFDC08C51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507999</xdr:colOff>
      <xdr:row>2</xdr:row>
      <xdr:rowOff>95250</xdr:rowOff>
    </xdr:from>
    <xdr:to>
      <xdr:col>5</xdr:col>
      <xdr:colOff>434262</xdr:colOff>
      <xdr:row>5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450807-BCFB-1233-E782-4300AE80E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6399" y="463550"/>
          <a:ext cx="681913" cy="552450"/>
        </a:xfrm>
        <a:prstGeom prst="rect">
          <a:avLst/>
        </a:prstGeom>
      </xdr:spPr>
    </xdr:pic>
    <xdr:clientData/>
  </xdr:twoCellAnchor>
  <xdr:twoCellAnchor>
    <xdr:from>
      <xdr:col>5</xdr:col>
      <xdr:colOff>480540</xdr:colOff>
      <xdr:row>10</xdr:row>
      <xdr:rowOff>85811</xdr:rowOff>
    </xdr:from>
    <xdr:to>
      <xdr:col>13</xdr:col>
      <xdr:colOff>176083</xdr:colOff>
      <xdr:row>25</xdr:row>
      <xdr:rowOff>45308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5B7CFE-56DD-4D2B-B22F-7200A2679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228256</xdr:colOff>
      <xdr:row>26</xdr:row>
      <xdr:rowOff>177285</xdr:rowOff>
    </xdr:from>
    <xdr:to>
      <xdr:col>12</xdr:col>
      <xdr:colOff>535459</xdr:colOff>
      <xdr:row>42</xdr:row>
      <xdr:rowOff>37242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D75EF6-3323-8431-FF08-7D2E63F6D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551477</xdr:colOff>
      <xdr:row>49</xdr:row>
      <xdr:rowOff>7093</xdr:rowOff>
    </xdr:from>
    <xdr:to>
      <xdr:col>12</xdr:col>
      <xdr:colOff>83522</xdr:colOff>
      <xdr:row>64</xdr:row>
      <xdr:rowOff>4347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8E72E3-CAAB-CA1C-B659-C3157426C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501650</xdr:colOff>
      <xdr:row>2</xdr:row>
      <xdr:rowOff>76200</xdr:rowOff>
    </xdr:from>
    <xdr:to>
      <xdr:col>8</xdr:col>
      <xdr:colOff>546100</xdr:colOff>
      <xdr:row>6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A54E52-B718-87E4-8217-BA8033187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9250" y="444500"/>
          <a:ext cx="1263650" cy="704850"/>
        </a:xfrm>
        <a:prstGeom prst="rect">
          <a:avLst/>
        </a:prstGeom>
      </xdr:spPr>
    </xdr:pic>
    <xdr:clientData/>
  </xdr:twoCellAnchor>
  <xdr:twoCellAnchor>
    <xdr:from>
      <xdr:col>6</xdr:col>
      <xdr:colOff>22225</xdr:colOff>
      <xdr:row>12</xdr:row>
      <xdr:rowOff>276225</xdr:rowOff>
    </xdr:from>
    <xdr:to>
      <xdr:col>13</xdr:col>
      <xdr:colOff>327025</xdr:colOff>
      <xdr:row>27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98293C-DA2F-07E2-8F2B-3A188ED3E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9525</xdr:colOff>
      <xdr:row>33</xdr:row>
      <xdr:rowOff>15875</xdr:rowOff>
    </xdr:from>
    <xdr:to>
      <xdr:col>13</xdr:col>
      <xdr:colOff>314325</xdr:colOff>
      <xdr:row>47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C9972-8D0A-017F-C8D3-D68E0C1EB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36635</xdr:colOff>
      <xdr:row>54</xdr:row>
      <xdr:rowOff>97692</xdr:rowOff>
    </xdr:from>
    <xdr:to>
      <xdr:col>12</xdr:col>
      <xdr:colOff>470145</xdr:colOff>
      <xdr:row>61</xdr:row>
      <xdr:rowOff>238125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E3486E-E9CC-E289-4948-DBE862C0A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602029</xdr:colOff>
      <xdr:row>63</xdr:row>
      <xdr:rowOff>32727</xdr:rowOff>
    </xdr:from>
    <xdr:to>
      <xdr:col>11</xdr:col>
      <xdr:colOff>289413</xdr:colOff>
      <xdr:row>78</xdr:row>
      <xdr:rowOff>3908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189569-CF7A-521D-CB15-5491622CB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552449</xdr:colOff>
      <xdr:row>2</xdr:row>
      <xdr:rowOff>165099</xdr:rowOff>
    </xdr:from>
    <xdr:to>
      <xdr:col>7</xdr:col>
      <xdr:colOff>406400</xdr:colOff>
      <xdr:row>5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8E3A5C-A940-9F3D-0683-B8E755984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0049" y="533399"/>
          <a:ext cx="622301" cy="457201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37</xdr:row>
      <xdr:rowOff>136525</xdr:rowOff>
    </xdr:from>
    <xdr:to>
      <xdr:col>8</xdr:col>
      <xdr:colOff>422275</xdr:colOff>
      <xdr:row>52</xdr:row>
      <xdr:rowOff>117475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18F8F9-3A95-9D5D-FC9A-294B03E90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55.415138773147" createdVersion="8" refreshedVersion="8" minRefreshableVersion="3" recordCount="1000" xr:uid="{6CD2733F-8288-4AD7-989F-B6CFA90AB076}">
  <cacheSource type="worksheet">
    <worksheetSource name="fin_table"/>
  </cacheSource>
  <cacheFields count="38">
    <cacheField name="Transaction ID" numFmtId="0">
      <sharedItems/>
    </cacheField>
    <cacheField name="Customer ID" numFmtId="0">
      <sharedItems/>
    </cacheField>
    <cacheField name="Account Number" numFmtId="0">
      <sharedItems/>
    </cacheField>
    <cacheField name="Transaction Date" numFmtId="14">
      <sharedItems containsSemiMixedTypes="0" containsNonDate="0" containsDate="1" containsString="0" minDate="2022-01-01T00:00:00" maxDate="2023-08-22T00:00:00" count="490">
        <d v="2023-05-23T00:00:00"/>
        <d v="2022-04-05T00:00:00"/>
        <d v="2022-07-01T00:00:00"/>
        <d v="2022-04-17T00:00:00"/>
        <d v="2022-07-08T00:00:00"/>
        <d v="2023-07-13T00:00:00"/>
        <d v="2022-03-15T00:00:00"/>
        <d v="2022-05-07T00:00:00"/>
        <d v="2022-05-23T00:00:00"/>
        <d v="2022-06-03T00:00:00"/>
        <d v="2023-07-05T00:00:00"/>
        <d v="2023-03-13T00:00:00"/>
        <d v="2022-06-04T00:00:00"/>
        <d v="2022-06-07T00:00:00"/>
        <d v="2022-10-26T00:00:00"/>
        <d v="2022-07-09T00:00:00"/>
        <d v="2022-03-20T00:00:00"/>
        <d v="2022-02-05T00:00:00"/>
        <d v="2023-03-14T00:00:00"/>
        <d v="2022-06-23T00:00:00"/>
        <d v="2022-11-15T00:00:00"/>
        <d v="2022-03-28T00:00:00"/>
        <d v="2023-01-07T00:00:00"/>
        <d v="2022-08-06T00:00:00"/>
        <d v="2022-04-15T00:00:00"/>
        <d v="2022-02-14T00:00:00"/>
        <d v="2022-10-03T00:00:00"/>
        <d v="2023-07-06T00:00:00"/>
        <d v="2022-01-30T00:00:00"/>
        <d v="2022-09-20T00:00:00"/>
        <d v="2023-07-26T00:00:00"/>
        <d v="2023-01-25T00:00:00"/>
        <d v="2022-08-22T00:00:00"/>
        <d v="2023-02-05T00:00:00"/>
        <d v="2022-10-02T00:00:00"/>
        <d v="2022-04-22T00:00:00"/>
        <d v="2022-04-18T00:00:00"/>
        <d v="2023-05-01T00:00:00"/>
        <d v="2023-04-28T00:00:00"/>
        <d v="2023-03-09T00:00:00"/>
        <d v="2022-11-20T00:00:00"/>
        <d v="2022-08-31T00:00:00"/>
        <d v="2022-05-02T00:00:00"/>
        <d v="2023-03-26T00:00:00"/>
        <d v="2023-05-19T00:00:00"/>
        <d v="2023-02-24T00:00:00"/>
        <d v="2022-03-19T00:00:00"/>
        <d v="2022-06-01T00:00:00"/>
        <d v="2023-03-12T00:00:00"/>
        <d v="2022-05-04T00:00:00"/>
        <d v="2022-07-29T00:00:00"/>
        <d v="2022-03-26T00:00:00"/>
        <d v="2023-07-10T00:00:00"/>
        <d v="2023-08-03T00:00:00"/>
        <d v="2023-08-06T00:00:00"/>
        <d v="2022-06-22T00:00:00"/>
        <d v="2023-07-08T00:00:00"/>
        <d v="2023-08-15T00:00:00"/>
        <d v="2023-05-22T00:00:00"/>
        <d v="2023-01-28T00:00:00"/>
        <d v="2022-03-03T00:00:00"/>
        <d v="2022-05-17T00:00:00"/>
        <d v="2022-03-22T00:00:00"/>
        <d v="2022-02-27T00:00:00"/>
        <d v="2022-09-03T00:00:00"/>
        <d v="2022-07-17T00:00:00"/>
        <d v="2023-07-19T00:00:00"/>
        <d v="2022-05-26T00:00:00"/>
        <d v="2022-10-23T00:00:00"/>
        <d v="2022-04-07T00:00:00"/>
        <d v="2022-11-18T00:00:00"/>
        <d v="2022-01-14T00:00:00"/>
        <d v="2022-02-26T00:00:00"/>
        <d v="2023-02-10T00:00:00"/>
        <d v="2022-10-31T00:00:00"/>
        <d v="2022-11-10T00:00:00"/>
        <d v="2023-02-15T00:00:00"/>
        <d v="2022-11-29T00:00:00"/>
        <d v="2022-06-13T00:00:00"/>
        <d v="2022-10-11T00:00:00"/>
        <d v="2022-03-23T00:00:00"/>
        <d v="2022-09-16T00:00:00"/>
        <d v="2023-06-30T00:00:00"/>
        <d v="2022-12-28T00:00:00"/>
        <d v="2022-08-19T00:00:00"/>
        <d v="2022-07-13T00:00:00"/>
        <d v="2022-09-05T00:00:00"/>
        <d v="2023-04-07T00:00:00"/>
        <d v="2022-03-21T00:00:00"/>
        <d v="2022-06-30T00:00:00"/>
        <d v="2022-10-06T00:00:00"/>
        <d v="2022-10-05T00:00:00"/>
        <d v="2022-07-31T00:00:00"/>
        <d v="2022-12-10T00:00:00"/>
        <d v="2023-05-07T00:00:00"/>
        <d v="2022-03-24T00:00:00"/>
        <d v="2023-06-14T00:00:00"/>
        <d v="2022-03-18T00:00:00"/>
        <d v="2022-08-10T00:00:00"/>
        <d v="2022-12-31T00:00:00"/>
        <d v="2022-09-04T00:00:00"/>
        <d v="2022-11-21T00:00:00"/>
        <d v="2022-10-04T00:00:00"/>
        <d v="2023-07-15T00:00:00"/>
        <d v="2022-07-18T00:00:00"/>
        <d v="2023-03-04T00:00:00"/>
        <d v="2023-07-20T00:00:00"/>
        <d v="2023-03-05T00:00:00"/>
        <d v="2023-07-07T00:00:00"/>
        <d v="2022-01-12T00:00:00"/>
        <d v="2022-06-18T00:00:00"/>
        <d v="2022-09-10T00:00:00"/>
        <d v="2022-09-29T00:00:00"/>
        <d v="2023-01-01T00:00:00"/>
        <d v="2023-07-28T00:00:00"/>
        <d v="2022-07-06T00:00:00"/>
        <d v="2023-02-09T00:00:00"/>
        <d v="2023-04-13T00:00:00"/>
        <d v="2022-09-26T00:00:00"/>
        <d v="2023-04-18T00:00:00"/>
        <d v="2022-11-04T00:00:00"/>
        <d v="2023-04-03T00:00:00"/>
        <d v="2023-01-26T00:00:00"/>
        <d v="2023-06-24T00:00:00"/>
        <d v="2022-12-19T00:00:00"/>
        <d v="2022-01-11T00:00:00"/>
        <d v="2023-01-12T00:00:00"/>
        <d v="2023-02-22T00:00:00"/>
        <d v="2023-06-06T00:00:00"/>
        <d v="2022-06-09T00:00:00"/>
        <d v="2023-04-25T00:00:00"/>
        <d v="2023-03-11T00:00:00"/>
        <d v="2022-08-11T00:00:00"/>
        <d v="2023-07-01T00:00:00"/>
        <d v="2022-07-07T00:00:00"/>
        <d v="2022-04-03T00:00:00"/>
        <d v="2023-06-05T00:00:00"/>
        <d v="2022-10-08T00:00:00"/>
        <d v="2022-11-17T00:00:00"/>
        <d v="2022-10-10T00:00:00"/>
        <d v="2022-09-02T00:00:00"/>
        <d v="2022-03-25T00:00:00"/>
        <d v="2022-07-20T00:00:00"/>
        <d v="2023-05-09T00:00:00"/>
        <d v="2022-12-14T00:00:00"/>
        <d v="2023-02-28T00:00:00"/>
        <d v="2022-04-11T00:00:00"/>
        <d v="2023-05-12T00:00:00"/>
        <d v="2022-01-20T00:00:00"/>
        <d v="2022-10-19T00:00:00"/>
        <d v="2022-05-30T00:00:00"/>
        <d v="2022-11-22T00:00:00"/>
        <d v="2022-07-25T00:00:00"/>
        <d v="2023-03-29T00:00:00"/>
        <d v="2023-04-21T00:00:00"/>
        <d v="2022-09-25T00:00:00"/>
        <d v="2022-08-29T00:00:00"/>
        <d v="2022-04-10T00:00:00"/>
        <d v="2022-02-13T00:00:00"/>
        <d v="2023-04-14T00:00:00"/>
        <d v="2022-03-17T00:00:00"/>
        <d v="2023-02-04T00:00:00"/>
        <d v="2023-08-10T00:00:00"/>
        <d v="2022-11-11T00:00:00"/>
        <d v="2022-09-24T00:00:00"/>
        <d v="2023-01-16T00:00:00"/>
        <d v="2023-05-27T00:00:00"/>
        <d v="2023-04-10T00:00:00"/>
        <d v="2022-06-02T00:00:00"/>
        <d v="2023-02-26T00:00:00"/>
        <d v="2022-03-02T00:00:00"/>
        <d v="2022-09-06T00:00:00"/>
        <d v="2023-06-01T00:00:00"/>
        <d v="2022-12-16T00:00:00"/>
        <d v="2023-08-21T00:00:00"/>
        <d v="2022-06-24T00:00:00"/>
        <d v="2022-07-10T00:00:00"/>
        <d v="2023-05-16T00:00:00"/>
        <d v="2022-10-30T00:00:00"/>
        <d v="2023-02-08T00:00:00"/>
        <d v="2022-04-26T00:00:00"/>
        <d v="2022-02-15T00:00:00"/>
        <d v="2023-02-16T00:00:00"/>
        <d v="2022-08-03T00:00:00"/>
        <d v="2023-04-02T00:00:00"/>
        <d v="2022-04-06T00:00:00"/>
        <d v="2022-05-21T00:00:00"/>
        <d v="2022-08-16T00:00:00"/>
        <d v="2022-05-09T00:00:00"/>
        <d v="2022-07-22T00:00:00"/>
        <d v="2023-05-08T00:00:00"/>
        <d v="2022-08-05T00:00:00"/>
        <d v="2022-10-18T00:00:00"/>
        <d v="2022-06-15T00:00:00"/>
        <d v="2022-01-22T00:00:00"/>
        <d v="2022-12-04T00:00:00"/>
        <d v="2022-06-17T00:00:00"/>
        <d v="2023-05-06T00:00:00"/>
        <d v="2022-02-01T00:00:00"/>
        <d v="2022-08-02T00:00:00"/>
        <d v="2022-06-14T00:00:00"/>
        <d v="2023-07-25T00:00:00"/>
        <d v="2022-02-08T00:00:00"/>
        <d v="2022-11-24T00:00:00"/>
        <d v="2023-04-30T00:00:00"/>
        <d v="2023-05-31T00:00:00"/>
        <d v="2022-10-22T00:00:00"/>
        <d v="2022-07-27T00:00:00"/>
        <d v="2022-07-28T00:00:00"/>
        <d v="2022-02-19T00:00:00"/>
        <d v="2022-07-24T00:00:00"/>
        <d v="2023-06-16T00:00:00"/>
        <d v="2022-01-10T00:00:00"/>
        <d v="2022-10-24T00:00:00"/>
        <d v="2022-09-21T00:00:00"/>
        <d v="2023-05-05T00:00:00"/>
        <d v="2023-03-08T00:00:00"/>
        <d v="2022-03-27T00:00:00"/>
        <d v="2022-12-17T00:00:00"/>
        <d v="2022-08-09T00:00:00"/>
        <d v="2022-12-11T00:00:00"/>
        <d v="2023-01-23T00:00:00"/>
        <d v="2023-07-11T00:00:00"/>
        <d v="2022-07-04T00:00:00"/>
        <d v="2022-10-15T00:00:00"/>
        <d v="2023-03-23T00:00:00"/>
        <d v="2022-05-16T00:00:00"/>
        <d v="2022-05-18T00:00:00"/>
        <d v="2022-04-16T00:00:00"/>
        <d v="2022-11-30T00:00:00"/>
        <d v="2023-05-02T00:00:00"/>
        <d v="2022-02-23T00:00:00"/>
        <d v="2022-12-02T00:00:00"/>
        <d v="2023-03-20T00:00:00"/>
        <d v="2022-05-11T00:00:00"/>
        <d v="2022-08-26T00:00:00"/>
        <d v="2022-01-18T00:00:00"/>
        <d v="2022-04-30T00:00:00"/>
        <d v="2022-12-29T00:00:00"/>
        <d v="2022-04-14T00:00:00"/>
        <d v="2023-03-16T00:00:00"/>
        <d v="2022-12-05T00:00:00"/>
        <d v="2022-08-24T00:00:00"/>
        <d v="2022-04-09T00:00:00"/>
        <d v="2023-01-31T00:00:00"/>
        <d v="2023-03-02T00:00:00"/>
        <d v="2022-02-22T00:00:00"/>
        <d v="2022-12-13T00:00:00"/>
        <d v="2022-03-16T00:00:00"/>
        <d v="2023-02-03T00:00:00"/>
        <d v="2022-08-25T00:00:00"/>
        <d v="2023-06-11T00:00:00"/>
        <d v="2023-02-12T00:00:00"/>
        <d v="2023-04-29T00:00:00"/>
        <d v="2023-05-20T00:00:00"/>
        <d v="2022-07-02T00:00:00"/>
        <d v="2022-06-21T00:00:00"/>
        <d v="2023-06-21T00:00:00"/>
        <d v="2022-02-20T00:00:00"/>
        <d v="2023-05-11T00:00:00"/>
        <d v="2022-05-12T00:00:00"/>
        <d v="2023-05-28T00:00:00"/>
        <d v="2022-01-24T00:00:00"/>
        <d v="2022-03-29T00:00:00"/>
        <d v="2023-05-21T00:00:00"/>
        <d v="2022-08-27T00:00:00"/>
        <d v="2022-06-05T00:00:00"/>
        <d v="2022-05-28T00:00:00"/>
        <d v="2023-04-19T00:00:00"/>
        <d v="2023-06-20T00:00:00"/>
        <d v="2022-11-07T00:00:00"/>
        <d v="2023-01-15T00:00:00"/>
        <d v="2022-04-02T00:00:00"/>
        <d v="2023-01-08T00:00:00"/>
        <d v="2023-07-16T00:00:00"/>
        <d v="2023-05-30T00:00:00"/>
        <d v="2023-06-13T00:00:00"/>
        <d v="2022-01-23T00:00:00"/>
        <d v="2023-01-20T00:00:00"/>
        <d v="2022-12-12T00:00:00"/>
        <d v="2022-04-21T00:00:00"/>
        <d v="2022-08-01T00:00:00"/>
        <d v="2022-11-28T00:00:00"/>
        <d v="2023-03-28T00:00:00"/>
        <d v="2023-01-04T00:00:00"/>
        <d v="2022-09-30T00:00:00"/>
        <d v="2022-11-25T00:00:00"/>
        <d v="2022-05-19T00:00:00"/>
        <d v="2022-12-20T00:00:00"/>
        <d v="2022-04-25T00:00:00"/>
        <d v="2022-10-27T00:00:00"/>
        <d v="2022-06-08T00:00:00"/>
        <d v="2022-01-09T00:00:00"/>
        <d v="2023-06-04T00:00:00"/>
        <d v="2022-01-08T00:00:00"/>
        <d v="2023-03-19T00:00:00"/>
        <d v="2023-01-24T00:00:00"/>
        <d v="2023-03-01T00:00:00"/>
        <d v="2023-06-23T00:00:00"/>
        <d v="2023-08-07T00:00:00"/>
        <d v="2022-01-06T00:00:00"/>
        <d v="2023-01-06T00:00:00"/>
        <d v="2023-07-03T00:00:00"/>
        <d v="2022-10-12T00:00:00"/>
        <d v="2022-05-10T00:00:00"/>
        <d v="2023-01-10T00:00:00"/>
        <d v="2022-09-11T00:00:00"/>
        <d v="2022-12-01T00:00:00"/>
        <d v="2023-04-12T00:00:00"/>
        <d v="2022-01-26T00:00:00"/>
        <d v="2022-11-08T00:00:00"/>
        <d v="2022-11-26T00:00:00"/>
        <d v="2023-03-07T00:00:00"/>
        <d v="2022-06-10T00:00:00"/>
        <d v="2022-03-06T00:00:00"/>
        <d v="2022-09-17T00:00:00"/>
        <d v="2022-05-05T00:00:00"/>
        <d v="2022-01-29T00:00:00"/>
        <d v="2022-04-20T00:00:00"/>
        <d v="2022-05-29T00:00:00"/>
        <d v="2023-06-29T00:00:00"/>
        <d v="2022-08-17T00:00:00"/>
        <d v="2022-09-07T00:00:00"/>
        <d v="2022-12-09T00:00:00"/>
        <d v="2022-08-07T00:00:00"/>
        <d v="2022-08-21T00:00:00"/>
        <d v="2022-07-16T00:00:00"/>
        <d v="2022-07-30T00:00:00"/>
        <d v="2022-05-22T00:00:00"/>
        <d v="2022-09-08T00:00:00"/>
        <d v="2022-01-19T00:00:00"/>
        <d v="2023-02-18T00:00:00"/>
        <d v="2023-01-17T00:00:00"/>
        <d v="2022-07-12T00:00:00"/>
        <d v="2022-09-09T00:00:00"/>
        <d v="2022-07-05T00:00:00"/>
        <d v="2023-04-22T00:00:00"/>
        <d v="2023-02-19T00:00:00"/>
        <d v="2023-05-17T00:00:00"/>
        <d v="2023-02-06T00:00:00"/>
        <d v="2022-04-27T00:00:00"/>
        <d v="2022-10-29T00:00:00"/>
        <d v="2023-03-17T00:00:00"/>
        <d v="2023-05-15T00:00:00"/>
        <d v="2023-02-20T00:00:00"/>
        <d v="2022-07-19T00:00:00"/>
        <d v="2022-02-24T00:00:00"/>
        <d v="2022-11-13T00:00:00"/>
        <d v="2022-09-01T00:00:00"/>
        <d v="2022-01-27T00:00:00"/>
        <d v="2023-06-15T00:00:00"/>
        <d v="2023-06-03T00:00:00"/>
        <d v="2022-05-06T00:00:00"/>
        <d v="2023-08-19T00:00:00"/>
        <d v="2023-06-28T00:00:00"/>
        <d v="2022-12-06T00:00:00"/>
        <d v="2023-08-08T00:00:00"/>
        <d v="2023-02-14T00:00:00"/>
        <d v="2022-11-12T00:00:00"/>
        <d v="2022-02-09T00:00:00"/>
        <d v="2022-09-13T00:00:00"/>
        <d v="2022-02-28T00:00:00"/>
        <d v="2022-08-12T00:00:00"/>
        <d v="2022-10-28T00:00:00"/>
        <d v="2022-11-09T00:00:00"/>
        <d v="2022-03-01T00:00:00"/>
        <d v="2023-01-11T00:00:00"/>
        <d v="2022-08-13T00:00:00"/>
        <d v="2023-07-23T00:00:00"/>
        <d v="2022-02-11T00:00:00"/>
        <d v="2023-08-05T00:00:00"/>
        <d v="2022-08-15T00:00:00"/>
        <d v="2022-02-12T00:00:00"/>
        <d v="2022-06-25T00:00:00"/>
        <d v="2022-02-03T00:00:00"/>
        <d v="2022-10-21T00:00:00"/>
        <d v="2022-11-27T00:00:00"/>
        <d v="2023-03-06T00:00:00"/>
        <d v="2022-11-02T00:00:00"/>
        <d v="2023-07-09T00:00:00"/>
        <d v="2023-02-23T00:00:00"/>
        <d v="2022-12-27T00:00:00"/>
        <d v="2023-01-19T00:00:00"/>
        <d v="2023-01-14T00:00:00"/>
        <d v="2022-03-09T00:00:00"/>
        <d v="2023-07-21T00:00:00"/>
        <d v="2022-02-16T00:00:00"/>
        <d v="2022-06-20T00:00:00"/>
        <d v="2022-12-18T00:00:00"/>
        <d v="2023-03-31T00:00:00"/>
        <d v="2023-05-14T00:00:00"/>
        <d v="2023-01-13T00:00:00"/>
        <d v="2023-05-10T00:00:00"/>
        <d v="2022-12-21T00:00:00"/>
        <d v="2022-01-05T00:00:00"/>
        <d v="2023-07-02T00:00:00"/>
        <d v="2022-09-15T00:00:00"/>
        <d v="2022-04-12T00:00:00"/>
        <d v="2023-02-25T00:00:00"/>
        <d v="2023-05-25T00:00:00"/>
        <d v="2023-07-29T00:00:00"/>
        <d v="2022-07-03T00:00:00"/>
        <d v="2022-02-04T00:00:00"/>
        <d v="2022-07-15T00:00:00"/>
        <d v="2023-08-11T00:00:00"/>
        <d v="2023-05-26T00:00:00"/>
        <d v="2022-01-02T00:00:00"/>
        <d v="2022-12-03T00:00:00"/>
        <d v="2022-11-19T00:00:00"/>
        <d v="2022-10-09T00:00:00"/>
        <d v="2022-08-30T00:00:00"/>
        <d v="2023-06-26T00:00:00"/>
        <d v="2023-08-20T00:00:00"/>
        <d v="2022-04-08T00:00:00"/>
        <d v="2022-01-17T00:00:00"/>
        <d v="2022-04-19T00:00:00"/>
        <d v="2023-06-02T00:00:00"/>
        <d v="2022-12-25T00:00:00"/>
        <d v="2022-09-22T00:00:00"/>
        <d v="2023-08-18T00:00:00"/>
        <d v="2023-07-27T00:00:00"/>
        <d v="2023-06-10T00:00:00"/>
        <d v="2022-04-04T00:00:00"/>
        <d v="2022-08-20T00:00:00"/>
        <d v="2022-05-20T00:00:00"/>
        <d v="2023-06-07T00:00:00"/>
        <d v="2022-09-14T00:00:00"/>
        <d v="2022-03-14T00:00:00"/>
        <d v="2023-02-07T00:00:00"/>
        <d v="2022-05-03T00:00:00"/>
        <d v="2023-06-19T00:00:00"/>
        <d v="2023-08-14T00:00:00"/>
        <d v="2023-04-15T00:00:00"/>
        <d v="2023-02-21T00:00:00"/>
        <d v="2022-01-01T00:00:00"/>
        <d v="2023-01-03T00:00:00"/>
        <d v="2023-01-27T00:00:00"/>
        <d v="2022-01-15T00:00:00"/>
        <d v="2022-01-31T00:00:00"/>
        <d v="2022-06-27T00:00:00"/>
        <d v="2023-06-08T00:00:00"/>
        <d v="2022-09-23T00:00:00"/>
        <d v="2022-10-20T00:00:00"/>
        <d v="2023-07-14T00:00:00"/>
        <d v="2022-12-15T00:00:00"/>
        <d v="2022-12-07T00:00:00"/>
        <d v="2022-08-23T00:00:00"/>
        <d v="2022-02-17T00:00:00"/>
        <d v="2022-12-30T00:00:00"/>
        <d v="2022-08-28T00:00:00"/>
        <d v="2022-10-07T00:00:00"/>
        <d v="2022-02-25T00:00:00"/>
        <d v="2023-04-16T00:00:00"/>
        <d v="2023-07-30T00:00:00"/>
        <d v="2023-07-12T00:00:00"/>
        <d v="2022-06-28T00:00:00"/>
        <d v="2022-03-10T00:00:00"/>
        <d v="2023-04-05T00:00:00"/>
        <d v="2022-10-01T00:00:00"/>
        <d v="2022-01-13T00:00:00"/>
        <d v="2022-03-07T00:00:00"/>
        <d v="2023-07-24T00:00:00"/>
        <d v="2023-04-08T00:00:00"/>
        <d v="2022-03-08T00:00:00"/>
        <d v="2023-01-09T00:00:00"/>
        <d v="2023-07-18T00:00:00"/>
        <d v="2022-05-27T00:00:00"/>
        <d v="2022-08-18T00:00:00"/>
        <d v="2022-05-01T00:00:00"/>
        <d v="2023-03-03T00:00:00"/>
        <d v="2023-06-25T00:00:00"/>
        <d v="2023-03-22T00:00:00"/>
        <d v="2023-04-17T00:00:00"/>
        <d v="2023-02-11T00:00:00"/>
        <d v="2023-03-10T00:00:00"/>
        <d v="2022-12-08T00:00:00"/>
        <d v="2023-03-25T00:00:00"/>
        <d v="2023-06-27T00:00:00"/>
        <d v="2022-04-23T00:00:00"/>
        <d v="2022-01-04T00:00:00"/>
        <d v="2022-11-01T00:00:00"/>
        <d v="2022-04-28T00:00:00"/>
        <d v="2023-08-12T00:00:00"/>
        <d v="2022-12-24T00:00:00"/>
        <d v="2023-08-13T00:00:00"/>
        <d v="2023-08-02T00:00:00"/>
        <d v="2023-08-16T00:00:00"/>
        <d v="2023-01-30T00:00:00"/>
        <d v="2022-03-04T00:00:00"/>
        <d v="2022-04-29T00:00:00"/>
      </sharedItems>
      <fieldGroup par="37"/>
    </cacheField>
    <cacheField name="Day" numFmtId="14">
      <sharedItems containsNonDate="0" count="31">
        <s v="23"/>
        <s v="05"/>
        <s v="01"/>
        <s v="17"/>
        <s v="08"/>
        <s v="13"/>
        <s v="15"/>
        <s v="07"/>
        <s v="03"/>
        <s v="04"/>
        <s v="26"/>
        <s v="09"/>
        <s v="20"/>
        <s v="14"/>
        <s v="28"/>
        <s v="06"/>
        <s v="30"/>
        <s v="25"/>
        <s v="22"/>
        <s v="02"/>
        <s v="18"/>
        <s v="31"/>
        <s v="19"/>
        <s v="24"/>
        <s v="12"/>
        <s v="29"/>
        <s v="10"/>
        <s v="27"/>
        <s v="11"/>
        <s v="16"/>
        <s v="21"/>
      </sharedItems>
    </cacheField>
    <cacheField name="Month" numFmtId="14">
      <sharedItems containsNonDate="0" count="12">
        <s v="May"/>
        <s v="Apr"/>
        <s v="Jul"/>
        <s v="Mar"/>
        <s v="Jun"/>
        <s v="Oct"/>
        <s v="Feb"/>
        <s v="Nov"/>
        <s v="Jan"/>
        <s v="Aug"/>
        <s v="Sep"/>
        <s v="Dec"/>
      </sharedItems>
    </cacheField>
    <cacheField name="Transaction Type" numFmtId="49">
      <sharedItems count="4">
        <s v="Payment"/>
        <s v="Withdrawal"/>
        <s v="Transfer"/>
        <s v="Deposit"/>
      </sharedItems>
    </cacheField>
    <cacheField name="Transaction Amount" numFmtId="164">
      <sharedItems containsSemiMixedTypes="0" containsString="0" containsNumber="1" minValue="101.87" maxValue="9997.17"/>
    </cacheField>
    <cacheField name=" Account Status" numFmtId="164">
      <sharedItems count="2">
        <s v="Not Active"/>
        <s v="Active"/>
      </sharedItems>
    </cacheField>
    <cacheField name="Account Balance" numFmtId="164">
      <sharedItems containsSemiMixedTypes="0" containsString="0" containsNumber="1" minValue="1065.97" maxValue="49883.519999999997"/>
    </cacheField>
    <cacheField name="Account Level" numFmtId="164">
      <sharedItems/>
    </cacheField>
    <cacheField name="Customer Name" numFmtId="49">
      <sharedItems count="5">
        <s v="Bob Brown"/>
        <s v="Carol White"/>
        <s v="Jane Smith"/>
        <s v="John Doe"/>
        <s v="Alice Johnson"/>
      </sharedItems>
    </cacheField>
    <cacheField name="Customer Age" numFmtId="0">
      <sharedItems containsSemiMixedTypes="0" containsString="0" containsNumber="1" containsInteger="1" minValue="18" maxValue="69"/>
    </cacheField>
    <cacheField name="Customer Age Group" numFmtId="49">
      <sharedItems count="5">
        <s v="Adults"/>
        <s v="Middle-Aged"/>
        <s v="Older Adults"/>
        <s v="Seniors"/>
        <s v="Young Adults"/>
      </sharedItems>
    </cacheField>
    <cacheField name="Customer Gender" numFmtId="49">
      <sharedItems/>
    </cacheField>
    <cacheField name="Account Type" numFmtId="49">
      <sharedItems/>
    </cacheField>
    <cacheField name="Branch Code" numFmtId="0">
      <sharedItems count="601">
        <s v="BR901"/>
        <s v="BR209"/>
        <s v="BR660"/>
        <s v="BR740"/>
        <s v="BR684"/>
        <s v="BR439"/>
        <s v="BR664"/>
        <s v="BR455"/>
        <s v="BR991"/>
        <s v="BR267"/>
        <s v="BR656"/>
        <s v="BR551"/>
        <s v="BR204"/>
        <s v="BR249"/>
        <s v="BR245"/>
        <s v="BR815"/>
        <s v="BR973"/>
        <s v="BR398"/>
        <s v="BR266"/>
        <s v="BR812"/>
        <s v="BR745"/>
        <s v="BR822"/>
        <s v="BR147"/>
        <s v="BR737"/>
        <s v="BR338"/>
        <s v="BR106"/>
        <s v="BR563"/>
        <s v="BR552"/>
        <s v="BR883"/>
        <s v="BR996"/>
        <s v="BR470"/>
        <s v="BR648"/>
        <s v="BR586"/>
        <s v="BR310"/>
        <s v="BR264"/>
        <s v="BR224"/>
        <s v="BR436"/>
        <s v="BR291"/>
        <s v="BR829"/>
        <s v="BR313"/>
        <s v="BR673"/>
        <s v="BR427"/>
        <s v="BR480"/>
        <s v="BR772"/>
        <s v="BR677"/>
        <s v="BR897"/>
        <s v="BR631"/>
        <s v="BR799"/>
        <s v="BR181"/>
        <s v="BR462"/>
        <s v="BR604"/>
        <s v="BR301"/>
        <s v="BR603"/>
        <s v="BR743"/>
        <s v="BR136"/>
        <s v="BR688"/>
        <s v="BR700"/>
        <s v="BR501"/>
        <s v="BR864"/>
        <s v="BR955"/>
        <s v="BR805"/>
        <s v="BR275"/>
        <s v="BR644"/>
        <s v="BR669"/>
        <s v="BR566"/>
        <s v="BR300"/>
        <s v="BR639"/>
        <s v="BR646"/>
        <s v="BR736"/>
        <s v="BR493"/>
        <s v="BR932"/>
        <s v="BR141"/>
        <s v="BR696"/>
        <s v="BR492"/>
        <s v="BR722"/>
        <s v="BR882"/>
        <s v="BR540"/>
        <s v="BR936"/>
        <s v="BR716"/>
        <s v="BR605"/>
        <s v="BR419"/>
        <s v="BR652"/>
        <s v="BR314"/>
        <s v="BR170"/>
        <s v="BR667"/>
        <s v="BR335"/>
        <s v="BR380"/>
        <s v="BR986"/>
        <s v="BR261"/>
        <s v="BR290"/>
        <s v="BR108"/>
        <s v="BR159"/>
        <s v="BR992"/>
        <s v="BR916"/>
        <s v="BR324"/>
        <s v="BR918"/>
        <s v="BR681"/>
        <s v="BR904"/>
        <s v="BR386"/>
        <s v="BR268"/>
        <s v="BR161"/>
        <s v="BR448"/>
        <s v="BR541"/>
        <s v="BR113"/>
        <s v="BR263"/>
        <s v="BR519"/>
        <s v="BR856"/>
        <s v="BR946"/>
        <s v="BR619"/>
        <s v="BR765"/>
        <s v="BR647"/>
        <s v="BR659"/>
        <s v="BR127"/>
        <s v="BR807"/>
        <s v="BR545"/>
        <s v="BR307"/>
        <s v="BR569"/>
        <s v="BR203"/>
        <s v="BR841"/>
        <s v="BR525"/>
        <s v="BR200"/>
        <s v="BR640"/>
        <s v="BR738"/>
        <s v="BR949"/>
        <s v="BR621"/>
        <s v="BR205"/>
        <s v="BR778"/>
        <s v="BR868"/>
        <s v="BR906"/>
        <s v="BR376"/>
        <s v="BR164"/>
        <s v="BR287"/>
        <s v="BR416"/>
        <s v="BR237"/>
        <s v="BR442"/>
        <s v="BR645"/>
        <s v="BR479"/>
        <s v="BR453"/>
        <s v="BR842"/>
        <s v="BR365"/>
        <s v="BR793"/>
        <s v="BR951"/>
        <s v="BR432"/>
        <s v="BR612"/>
        <s v="BR232"/>
        <s v="BR691"/>
        <s v="BR852"/>
        <s v="BR834"/>
        <s v="BR634"/>
        <s v="BR595"/>
        <s v="BR720"/>
        <s v="BR718"/>
        <s v="BR756"/>
        <s v="BR468"/>
        <s v="BR965"/>
        <s v="BR750"/>
        <s v="BR895"/>
        <s v="BR909"/>
        <s v="BR198"/>
        <s v="BR222"/>
        <s v="BR898"/>
        <s v="BR692"/>
        <s v="BR594"/>
        <s v="BR556"/>
        <s v="BR816"/>
        <s v="BR414"/>
        <s v="BR808"/>
        <s v="BR809"/>
        <s v="BR641"/>
        <s v="BR578"/>
        <s v="BR119"/>
        <s v="BR229"/>
        <s v="BR392"/>
        <s v="BR231"/>
        <s v="BR153"/>
        <s v="BR989"/>
        <s v="BR892"/>
        <s v="BR486"/>
        <s v="BR364"/>
        <s v="BR559"/>
        <s v="BR557"/>
        <s v="BR142"/>
        <s v="BR685"/>
        <s v="BR961"/>
        <s v="BR377"/>
        <s v="BR937"/>
        <s v="BR853"/>
        <s v="BR449"/>
        <s v="BR643"/>
        <s v="BR100"/>
        <s v="BR683"/>
        <s v="BR531"/>
        <s v="BR405"/>
        <s v="BR626"/>
        <s v="BR152"/>
        <s v="BR429"/>
        <s v="BR657"/>
        <s v="BR424"/>
        <s v="BR213"/>
        <s v="BR246"/>
        <s v="BR265"/>
        <s v="BR478"/>
        <s v="BR238"/>
        <s v="BR728"/>
        <s v="BR375"/>
        <s v="BR888"/>
        <s v="BR924"/>
        <s v="BR277"/>
        <s v="BR941"/>
        <s v="BR253"/>
        <s v="BR977"/>
        <s v="BR214"/>
        <s v="BR770"/>
        <s v="BR653"/>
        <s v="BR858"/>
        <s v="BR167"/>
        <s v="BR544"/>
        <s v="BR425"/>
        <s v="BR945"/>
        <s v="BR701"/>
        <s v="BR979"/>
        <s v="BR458"/>
        <s v="BR244"/>
        <s v="BR374"/>
        <s v="BR608"/>
        <s v="BR278"/>
        <s v="BR930"/>
        <s v="BR576"/>
        <s v="BR942"/>
        <s v="BR513"/>
        <s v="BR252"/>
        <s v="BR174"/>
        <s v="BR227"/>
        <s v="BR810"/>
        <s v="BR889"/>
        <s v="BR444"/>
        <s v="BR630"/>
        <s v="BR258"/>
        <s v="BR637"/>
        <s v="BR780"/>
        <s v="BR122"/>
        <s v="BR146"/>
        <s v="BR624"/>
        <s v="BR828"/>
        <s v="BR933"/>
        <s v="BR243"/>
        <s v="BR767"/>
        <s v="BR518"/>
        <s v="BR184"/>
        <s v="BR515"/>
        <s v="BR581"/>
        <s v="BR555"/>
        <s v="BR926"/>
        <s v="BR396"/>
        <s v="BR211"/>
        <s v="BR329"/>
        <s v="BR195"/>
        <s v="BR779"/>
        <s v="BR477"/>
        <s v="BR255"/>
        <s v="BR520"/>
        <s v="BR804"/>
        <s v="BR538"/>
        <s v="BR966"/>
        <s v="BR481"/>
        <s v="BR369"/>
        <s v="BR649"/>
        <s v="BR495"/>
        <s v="BR774"/>
        <s v="BR549"/>
        <s v="BR430"/>
        <s v="BR352"/>
        <s v="BR384"/>
        <s v="BR373"/>
        <s v="BR517"/>
        <s v="BR409"/>
        <s v="BR130"/>
        <s v="BR925"/>
        <s v="BR781"/>
        <s v="BR285"/>
        <s v="BR309"/>
        <s v="BR118"/>
        <s v="BR811"/>
        <s v="BR831"/>
        <s v="BR235"/>
        <s v="BR322"/>
        <s v="BR102"/>
        <s v="BR953"/>
        <s v="BR564"/>
        <s v="BR327"/>
        <s v="BR753"/>
        <s v="BR598"/>
        <s v="BR620"/>
        <s v="BR801"/>
        <s v="BR776"/>
        <s v="BR390"/>
        <s v="BR786"/>
        <s v="BR814"/>
        <s v="BR747"/>
        <s v="BR103"/>
        <s v="BR766"/>
        <s v="BR783"/>
        <s v="BR969"/>
        <s v="BR193"/>
        <s v="BR851"/>
        <s v="BR958"/>
        <s v="BR312"/>
        <s v="BR535"/>
        <s v="BR607"/>
        <s v="BR935"/>
        <s v="BR304"/>
        <s v="BR172"/>
        <s v="BR615"/>
        <s v="BR175"/>
        <s v="BR940"/>
        <s v="BR176"/>
        <s v="BR915"/>
        <s v="BR867"/>
        <s v="BR509"/>
        <s v="BR713"/>
        <s v="BR944"/>
        <s v="BR650"/>
        <s v="BR575"/>
        <s v="BR187"/>
        <s v="BR980"/>
        <s v="BR344"/>
        <s v="BR877"/>
        <s v="BR836"/>
        <s v="BR241"/>
        <s v="BR467"/>
        <s v="BR183"/>
        <s v="BR242"/>
        <s v="BR451"/>
        <s v="BR251"/>
        <s v="BR257"/>
        <s v="BR752"/>
        <s v="BR862"/>
        <s v="BR402"/>
        <s v="BR723"/>
        <s v="BR755"/>
        <s v="BR820"/>
        <s v="BR323"/>
        <s v="BR363"/>
        <s v="BR855"/>
        <s v="BR367"/>
        <s v="BR695"/>
        <s v="BR115"/>
        <s v="BR433"/>
        <s v="BR158"/>
        <s v="BR276"/>
        <s v="BR162"/>
        <s v="BR406"/>
        <s v="BR345"/>
        <s v="BR388"/>
        <s v="BR431"/>
        <s v="BR354"/>
        <s v="BR703"/>
        <s v="BR609"/>
        <s v="BR890"/>
        <s v="BR817"/>
        <s v="BR705"/>
        <s v="BR912"/>
        <s v="BR929"/>
        <s v="BR562"/>
        <s v="BR298"/>
        <s v="BR370"/>
        <s v="BR845"/>
        <s v="BR163"/>
        <s v="BR348"/>
        <s v="BR686"/>
        <s v="BR256"/>
        <s v="BR663"/>
        <s v="BR412"/>
        <s v="BR950"/>
        <s v="BR165"/>
        <s v="BR761"/>
        <s v="BR132"/>
        <s v="BR939"/>
        <s v="BR154"/>
        <s v="BR160"/>
        <s v="BR956"/>
        <s v="BR371"/>
        <s v="BR727"/>
        <s v="BR230"/>
        <s v="BR201"/>
        <s v="BR881"/>
        <s v="BR391"/>
        <s v="BR821"/>
        <s v="BR460"/>
        <s v="BR437"/>
        <s v="BR678"/>
        <s v="BR109"/>
        <s v="BR148"/>
        <s v="BR420"/>
        <s v="BR830"/>
        <s v="BR668"/>
        <s v="BR894"/>
        <s v="BR724"/>
        <s v="BR682"/>
        <s v="BR182"/>
        <s v="BR156"/>
        <s v="BR475"/>
        <s v="BR582"/>
        <s v="BR210"/>
        <s v="BR968"/>
        <s v="BR742"/>
        <s v="BR428"/>
        <s v="BR221"/>
        <s v="BR140"/>
        <s v="BR741"/>
        <s v="BR378"/>
        <s v="BR568"/>
        <s v="BR499"/>
        <s v="BR112"/>
        <s v="BR931"/>
        <s v="BR151"/>
        <s v="BR308"/>
        <s v="BR711"/>
        <s v="BR150"/>
        <s v="BR922"/>
        <s v="BR818"/>
        <s v="BR399"/>
        <s v="BR721"/>
        <s v="BR295"/>
        <s v="BR516"/>
        <s v="BR763"/>
        <s v="BR854"/>
        <s v="BR739"/>
        <s v="BR247"/>
        <s v="BR464"/>
        <s v="BR463"/>
        <s v="BR751"/>
        <s v="BR591"/>
        <s v="BR328"/>
        <s v="BR674"/>
        <s v="BR636"/>
        <s v="BR504"/>
        <s v="BR110"/>
        <s v="BR225"/>
        <s v="BR610"/>
        <s v="BR188"/>
        <s v="BR454"/>
        <s v="BR788"/>
        <s v="BR356"/>
        <s v="BR542"/>
        <s v="BR488"/>
        <s v="BR729"/>
        <s v="BR533"/>
        <s v="BR485"/>
        <s v="BR445"/>
        <s v="BR797"/>
        <s v="BR306"/>
        <s v="BR957"/>
        <s v="BR271"/>
        <s v="BR320"/>
        <s v="BR282"/>
        <s v="BR498"/>
        <s v="BR171"/>
        <s v="BR997"/>
        <s v="BR382"/>
        <s v="BR173"/>
        <s v="BR826"/>
        <s v="BR596"/>
        <s v="BR679"/>
        <s v="BR546"/>
        <s v="BR472"/>
        <s v="BR461"/>
        <s v="BR192"/>
        <s v="BR423"/>
        <s v="BR483"/>
        <s v="BR835"/>
        <s v="BR948"/>
        <s v="BR202"/>
        <s v="BR771"/>
        <s v="BR983"/>
        <s v="BR880"/>
        <s v="BR293"/>
        <s v="BR502"/>
        <s v="BR848"/>
        <s v="BR699"/>
        <s v="BR286"/>
        <s v="BR825"/>
        <s v="BR114"/>
        <s v="BR510"/>
        <s v="BR676"/>
        <s v="BR116"/>
        <s v="BR450"/>
        <s v="BR527"/>
        <s v="BR749"/>
        <s v="BR865"/>
        <s v="BR530"/>
        <s v="BR393"/>
        <s v="BR303"/>
        <s v="BR474"/>
        <s v="BR434"/>
        <s v="BR234"/>
        <s v="BR157"/>
        <s v="BR394"/>
        <s v="BR730"/>
        <s v="BR166"/>
        <s v="BR824"/>
        <s v="BR919"/>
        <s v="BR155"/>
        <s v="BR850"/>
        <s v="BR191"/>
        <s v="BR208"/>
        <s v="BR911"/>
        <s v="BR534"/>
        <s v="BR317"/>
        <s v="BR321"/>
        <s v="BR627"/>
        <s v="BR974"/>
        <s v="BR565"/>
        <s v="BR938"/>
        <s v="BR129"/>
        <s v="BR387"/>
        <s v="BR185"/>
        <s v="BR333"/>
        <s v="BR846"/>
        <s v="BR876"/>
        <s v="BR368"/>
        <s v="BR902"/>
        <s v="BR279"/>
        <s v="BR579"/>
        <s v="BR988"/>
        <s v="BR262"/>
        <s v="BR987"/>
        <s v="BR873"/>
        <s v="BR452"/>
        <s v="BR899"/>
        <s v="BR511"/>
        <s v="BR217"/>
        <s v="BR690"/>
        <s v="BR689"/>
        <s v="BR758"/>
        <s v="BR206"/>
        <s v="BR489"/>
        <s v="BR343"/>
        <s v="BR567"/>
        <s v="BR734"/>
        <s v="BR408"/>
        <s v="BR795"/>
        <s v="BR798"/>
        <s v="BR959"/>
        <s v="BR886"/>
        <s v="BR248"/>
        <s v="BR379"/>
        <s v="BR784"/>
        <s v="BR337"/>
        <s v="BR372"/>
        <s v="BR143"/>
        <s v="BR672"/>
        <s v="BR508"/>
        <s v="BR422"/>
        <s v="BR869"/>
        <s v="BR532"/>
        <s v="BR893"/>
        <s v="BR638"/>
        <s v="BR288"/>
        <s v="BR339"/>
        <s v="BR970"/>
        <s v="BR998"/>
        <s v="BR602"/>
        <s v="BR908"/>
        <s v="BR438"/>
        <s v="BR360"/>
        <s v="BR791"/>
        <s v="BR861"/>
        <s v="BR571"/>
        <s v="BR395"/>
        <s v="BR105"/>
        <s v="BR967"/>
        <s v="BR302"/>
        <s v="BR884"/>
        <s v="BR426"/>
        <s v="BR860"/>
        <s v="BR441"/>
        <s v="BR891"/>
        <s v="BR871"/>
        <s v="BR145"/>
        <s v="BR654"/>
        <s v="BR960"/>
        <s v="BR714"/>
        <s v="BR223"/>
        <s v="BR642"/>
        <s v="BR985"/>
        <s v="BR316"/>
        <s v="BR101"/>
        <s v="BR635"/>
        <s v="BR725"/>
        <s v="BR833"/>
        <s v="BR190"/>
        <s v="BR381"/>
        <s v="BR494"/>
        <s v="BR775"/>
        <s v="BR632"/>
        <s v="BR240"/>
        <s v="BR558"/>
        <s v="BR169"/>
        <s v="BR484"/>
        <s v="BR297"/>
      </sharedItems>
    </cacheField>
    <cacheField name="Currency" numFmtId="49">
      <sharedItems/>
    </cacheField>
    <cacheField name="Transaction Status" numFmtId="49">
      <sharedItems count="3">
        <s v="Failed"/>
        <s v="Completed"/>
        <s v="Pending"/>
      </sharedItems>
    </cacheField>
    <cacheField name="Interest Rate" numFmtId="0">
      <sharedItems containsSemiMixedTypes="0" containsString="0" containsNumber="1" minValue="1.01E-2" maxValue="0.05"/>
    </cacheField>
    <cacheField name="Interest Rate(%)" numFmtId="0">
      <sharedItems containsSemiMixedTypes="0" containsString="0" containsNumber="1" minValue="1.0999999999999999E-2" maxValue="4.99"/>
    </cacheField>
    <cacheField name="interest Rate level" numFmtId="0">
      <sharedItems/>
    </cacheField>
    <cacheField name="Loan Amount" numFmtId="164">
      <sharedItems containsSemiMixedTypes="0" containsString="0" containsNumber="1" minValue="5046" maxValue="49983.6"/>
    </cacheField>
    <cacheField name="Interest income" numFmtId="164">
      <sharedItems containsSemiMixedTypes="0" containsString="0" containsNumber="1" minValue="65.715759999999989" maxValue="2279.2262759999999"/>
    </cacheField>
    <cacheField name="Loan Duration (Years)" numFmtId="0">
      <sharedItems containsSemiMixedTypes="0" containsString="0" containsNumber="1" containsInteger="1" minValue="1" maxValue="29"/>
    </cacheField>
    <cacheField name="Credit Score" numFmtId="1">
      <sharedItems containsSemiMixedTypes="0" containsString="0" containsNumber="1" containsInteger="1" minValue="300" maxValue="849"/>
    </cacheField>
    <cacheField name="Credit Score Distribution" numFmtId="1">
      <sharedItems count="5">
        <s v="Poor"/>
        <s v="Excellent"/>
        <s v="Fair"/>
        <s v="Good"/>
        <s v="Very Good"/>
      </sharedItems>
    </cacheField>
    <cacheField name="Loan Defaulters" numFmtId="1">
      <sharedItems containsSemiMixedTypes="0" containsString="0" containsNumber="1" containsInteger="1" minValue="0" maxValue="2"/>
    </cacheField>
    <cacheField name="loan Default " numFmtId="1">
      <sharedItems/>
    </cacheField>
    <cacheField name="Credit Score (numbers)" numFmtId="1">
      <sharedItems containsSemiMixedTypes="0" containsString="0" containsNumber="1" containsInteger="1" minValue="1" maxValue="5"/>
    </cacheField>
    <cacheField name="Monthly Income" numFmtId="165">
      <sharedItems containsSemiMixedTypes="0" containsString="0" containsNumber="1" minValue="2017.34" maxValue="14977.94"/>
    </cacheField>
    <cacheField name="Income Category" numFmtId="165">
      <sharedItems/>
    </cacheField>
    <cacheField name="Employment Status" numFmtId="0">
      <sharedItems/>
    </cacheField>
    <cacheField name="Loan Status" numFmtId="0">
      <sharedItems/>
    </cacheField>
    <cacheField name="Risk Level" numFmtId="0">
      <sharedItems/>
    </cacheField>
    <cacheField name="Months (Transaction Date)" numFmtId="0" databaseField="0">
      <fieldGroup base="3">
        <rangePr groupBy="months" startDate="2022-01-01T00:00:00" endDate="2023-08-22T00:00:00"/>
        <groupItems count="14">
          <s v="&lt;1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2/2023"/>
        </groupItems>
      </fieldGroup>
    </cacheField>
    <cacheField name="Quarters (Transaction Date)" numFmtId="0" databaseField="0">
      <fieldGroup base="3">
        <rangePr groupBy="quarters" startDate="2022-01-01T00:00:00" endDate="2023-08-22T00:00:00"/>
        <groupItems count="6">
          <s v="&lt;1/1/2022"/>
          <s v="Qtr1"/>
          <s v="Qtr2"/>
          <s v="Qtr3"/>
          <s v="Qtr4"/>
          <s v="&gt;8/22/2023"/>
        </groupItems>
      </fieldGroup>
    </cacheField>
    <cacheField name="Years (Transaction Date)" numFmtId="0" databaseField="0">
      <fieldGroup base="3">
        <rangePr groupBy="years" startDate="2022-01-01T00:00:00" endDate="2023-08-22T00:00:00"/>
        <groupItems count="4">
          <s v="&lt;1/1/2022"/>
          <s v="2022"/>
          <s v="2023"/>
          <s v="&gt;8/2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T000001"/>
    <s v="C8270"/>
    <s v="AC87462428"/>
    <x v="0"/>
    <x v="0"/>
    <x v="0"/>
    <x v="0"/>
    <n v="5119.8100000000004"/>
    <x v="0"/>
    <n v="27796.92"/>
    <s v="Medium"/>
    <x v="0"/>
    <n v="30"/>
    <x v="0"/>
    <s v="Male"/>
    <s v="Checking"/>
    <x v="0"/>
    <s v="EUR"/>
    <x v="0"/>
    <n v="3.95E-2"/>
    <n v="3.95"/>
    <s v="low"/>
    <n v="26681.654999999999"/>
    <n v="1053.9253724999999"/>
    <n v="13"/>
    <n v="459"/>
    <x v="0"/>
    <n v="1"/>
    <s v="Default"/>
    <n v="1"/>
    <n v="5918.52"/>
    <s v="High Income"/>
    <s v="Self-employed"/>
    <s v="Without Loan"/>
    <s v="Low-Risk"/>
  </r>
  <r>
    <s v="T000002"/>
    <s v="C1860"/>
    <s v="AC65849014"/>
    <x v="1"/>
    <x v="1"/>
    <x v="1"/>
    <x v="1"/>
    <n v="6021.32"/>
    <x v="0"/>
    <n v="33863.1"/>
    <s v="Medium"/>
    <x v="1"/>
    <n v="32"/>
    <x v="0"/>
    <s v="Male"/>
    <s v="Credit"/>
    <x v="1"/>
    <s v="GBP"/>
    <x v="0"/>
    <n v="3.4099999999999998E-2"/>
    <n v="3.41"/>
    <s v="low"/>
    <n v="26681.654999999999"/>
    <n v="909.84443549999992"/>
    <n v="8"/>
    <n v="832"/>
    <x v="1"/>
    <n v="1"/>
    <s v="Default"/>
    <n v="5"/>
    <n v="4611.32"/>
    <s v="Middle Income"/>
    <s v="Self-employed"/>
    <s v="Without Loan"/>
    <s v="Low-Risk"/>
  </r>
  <r>
    <s v="T000003"/>
    <s v="C6390"/>
    <s v="AC47003110"/>
    <x v="2"/>
    <x v="2"/>
    <x v="2"/>
    <x v="0"/>
    <n v="430.5"/>
    <x v="0"/>
    <n v="35342.51"/>
    <s v="Medium"/>
    <x v="1"/>
    <n v="44"/>
    <x v="1"/>
    <s v="Female"/>
    <s v="Checking"/>
    <x v="2"/>
    <s v="EUR"/>
    <x v="1"/>
    <n v="3.6200000000000003E-2"/>
    <n v="3.62"/>
    <s v="low"/>
    <n v="26681.654999999999"/>
    <n v="965.87591100000009"/>
    <n v="13"/>
    <n v="434"/>
    <x v="0"/>
    <n v="0"/>
    <s v="Good"/>
    <n v="1"/>
    <n v="12065.39"/>
    <s v="High Income"/>
    <s v="Unemployed"/>
    <s v="Without Loan"/>
    <s v="Low-Risk"/>
  </r>
  <r>
    <s v="T000004"/>
    <s v="C6191"/>
    <s v="AC23942402"/>
    <x v="3"/>
    <x v="3"/>
    <x v="1"/>
    <x v="1"/>
    <n v="3700.56"/>
    <x v="1"/>
    <n v="10997.21"/>
    <s v="Medium"/>
    <x v="2"/>
    <n v="32"/>
    <x v="0"/>
    <s v="Male"/>
    <s v="Savings"/>
    <x v="3"/>
    <s v="USD"/>
    <x v="0"/>
    <n v="1.03E-2"/>
    <n v="1.03"/>
    <s v="low"/>
    <n v="48444.9"/>
    <n v="498.98247000000003"/>
    <n v="13"/>
    <n v="410"/>
    <x v="0"/>
    <n v="1"/>
    <s v="Default"/>
    <n v="1"/>
    <n v="11263.51"/>
    <s v="High Income"/>
    <s v="Self-employed"/>
    <s v="With Loan"/>
    <s v="High-Risk"/>
  </r>
  <r>
    <s v="T000005"/>
    <s v="C6734"/>
    <s v="AC99097673"/>
    <x v="4"/>
    <x v="4"/>
    <x v="2"/>
    <x v="2"/>
    <n v="7353.09"/>
    <x v="0"/>
    <n v="33045.71"/>
    <s v="Medium"/>
    <x v="1"/>
    <n v="45"/>
    <x v="1"/>
    <s v="Male"/>
    <s v="Credit"/>
    <x v="4"/>
    <s v="GBP"/>
    <x v="1"/>
    <n v="4.7100000000000003E-2"/>
    <n v="4.71"/>
    <s v="high"/>
    <n v="26681.654999999999"/>
    <n v="1256.7059505"/>
    <n v="5"/>
    <n v="582"/>
    <x v="2"/>
    <n v="0"/>
    <s v="Good"/>
    <n v="2"/>
    <n v="10254.370000000001"/>
    <s v="High Income"/>
    <s v="Unemployed"/>
    <s v="Without Loan"/>
    <s v="Low-Risk"/>
  </r>
  <r>
    <s v="T000006"/>
    <s v="C7265"/>
    <s v="AC91602413"/>
    <x v="5"/>
    <x v="5"/>
    <x v="2"/>
    <x v="1"/>
    <n v="8221.74"/>
    <x v="0"/>
    <n v="41100.11"/>
    <s v="Medium"/>
    <x v="2"/>
    <n v="54"/>
    <x v="2"/>
    <s v="Male"/>
    <s v="Credit"/>
    <x v="5"/>
    <s v="GBP"/>
    <x v="2"/>
    <n v="1.2699999999999999E-2"/>
    <n v="1.27"/>
    <s v="low"/>
    <n v="16947.46"/>
    <n v="215.23274199999997"/>
    <n v="20"/>
    <n v="819"/>
    <x v="1"/>
    <n v="2"/>
    <s v="Good"/>
    <n v="5"/>
    <n v="7033.83"/>
    <s v="High Income"/>
    <s v="Employed"/>
    <s v="With Loan"/>
    <s v="Low-Risk"/>
  </r>
  <r>
    <s v="T000007"/>
    <s v="C1466"/>
    <s v="AC20669435"/>
    <x v="6"/>
    <x v="6"/>
    <x v="3"/>
    <x v="0"/>
    <n v="3200.3"/>
    <x v="1"/>
    <n v="3450.91"/>
    <s v="Low"/>
    <x v="2"/>
    <n v="36"/>
    <x v="1"/>
    <s v="Female"/>
    <s v="Checking"/>
    <x v="6"/>
    <s v="EUR"/>
    <x v="0"/>
    <n v="2.47E-2"/>
    <n v="2.4700000000000002"/>
    <s v="low"/>
    <n v="18616.650000000001"/>
    <n v="459.83125500000006"/>
    <n v="4"/>
    <n v="493"/>
    <x v="0"/>
    <n v="1"/>
    <s v="Default"/>
    <n v="1"/>
    <n v="13817.53"/>
    <s v="High Income"/>
    <s v="Self-employed"/>
    <s v="With Loan"/>
    <s v="Low-Risk"/>
  </r>
  <r>
    <s v="T000008"/>
    <s v="C5426"/>
    <s v="AC93750880"/>
    <x v="7"/>
    <x v="7"/>
    <x v="0"/>
    <x v="3"/>
    <n v="8006.07"/>
    <x v="0"/>
    <n v="45664.54"/>
    <s v="Medium"/>
    <x v="2"/>
    <n v="43"/>
    <x v="1"/>
    <s v="Male"/>
    <s v="Checking"/>
    <x v="7"/>
    <s v="EUR"/>
    <x v="1"/>
    <n v="2.6100000000000002E-2"/>
    <n v="2.61"/>
    <s v="low"/>
    <n v="26681.654999999999"/>
    <n v="696.39119549999998"/>
    <n v="11"/>
    <n v="346"/>
    <x v="0"/>
    <n v="0"/>
    <s v="Good"/>
    <n v="1"/>
    <n v="14603.92"/>
    <s v="High Income"/>
    <s v="Unemployed"/>
    <s v="Without Loan"/>
    <s v="Low-Risk"/>
  </r>
  <r>
    <s v="T000009"/>
    <s v="C6578"/>
    <s v="AC53728950"/>
    <x v="8"/>
    <x v="0"/>
    <x v="0"/>
    <x v="1"/>
    <n v="9680.7800000000007"/>
    <x v="1"/>
    <n v="2445.6999999999998"/>
    <s v="Low"/>
    <x v="0"/>
    <n v="69"/>
    <x v="3"/>
    <s v="Male"/>
    <s v="Savings"/>
    <x v="8"/>
    <s v="GBP"/>
    <x v="0"/>
    <n v="1.01E-2"/>
    <n v="1.01"/>
    <s v="low"/>
    <n v="26681.654999999999"/>
    <n v="269.48471549999999"/>
    <n v="13"/>
    <n v="641"/>
    <x v="2"/>
    <n v="1"/>
    <s v="Default"/>
    <n v="2"/>
    <n v="4257.3100000000004"/>
    <s v="Middle Income"/>
    <s v="Self-employed"/>
    <s v="Without Loan"/>
    <s v="Low-Risk"/>
  </r>
  <r>
    <s v="T000010"/>
    <s v="C9322"/>
    <s v="AC21484508"/>
    <x v="9"/>
    <x v="8"/>
    <x v="4"/>
    <x v="2"/>
    <n v="8583.0499999999993"/>
    <x v="1"/>
    <n v="18442.580000000002"/>
    <s v="Medium"/>
    <x v="0"/>
    <n v="43"/>
    <x v="1"/>
    <s v="Male"/>
    <s v="Credit"/>
    <x v="9"/>
    <s v="EUR"/>
    <x v="1"/>
    <n v="2.9899999999999999E-2"/>
    <n v="2.99"/>
    <s v="low"/>
    <n v="26681.654999999999"/>
    <n v="797.78148449999992"/>
    <n v="13"/>
    <n v="541"/>
    <x v="0"/>
    <n v="0"/>
    <s v="Good"/>
    <n v="1"/>
    <n v="4899.16"/>
    <s v="Middle Income"/>
    <s v="Unemployed"/>
    <s v="Without Loan"/>
    <s v="Low-Risk"/>
  </r>
  <r>
    <s v="T000011"/>
    <s v="C2685"/>
    <s v="AC17449607"/>
    <x v="10"/>
    <x v="1"/>
    <x v="2"/>
    <x v="1"/>
    <n v="1264.68"/>
    <x v="1"/>
    <n v="1774.85"/>
    <s v="Low"/>
    <x v="1"/>
    <n v="42"/>
    <x v="1"/>
    <s v="Female"/>
    <s v="Savings"/>
    <x v="10"/>
    <s v="USD"/>
    <x v="2"/>
    <n v="4.0099999999999997E-2"/>
    <n v="4.01"/>
    <s v="high"/>
    <n v="26995.07"/>
    <n v="1082.502307"/>
    <n v="13"/>
    <n v="821"/>
    <x v="1"/>
    <n v="2"/>
    <s v="Good"/>
    <n v="5"/>
    <n v="8833.2000000000007"/>
    <s v="High Income"/>
    <s v="Unemployed"/>
    <s v="With Loan"/>
    <s v="Low-Risk"/>
  </r>
  <r>
    <s v="T000012"/>
    <s v="C1769"/>
    <s v="AC97929144"/>
    <x v="11"/>
    <x v="5"/>
    <x v="3"/>
    <x v="1"/>
    <n v="7423.33"/>
    <x v="1"/>
    <n v="4780.1099999999997"/>
    <s v="Low"/>
    <x v="0"/>
    <n v="43"/>
    <x v="1"/>
    <s v="Female"/>
    <s v="Checking"/>
    <x v="11"/>
    <s v="EUR"/>
    <x v="1"/>
    <n v="4.2900000000000001E-2"/>
    <n v="4.29"/>
    <s v="high"/>
    <n v="26681.654999999999"/>
    <n v="1144.6429994999999"/>
    <n v="13"/>
    <n v="669"/>
    <x v="2"/>
    <n v="0"/>
    <s v="Good"/>
    <n v="2"/>
    <n v="3186.26"/>
    <s v="Middle Income"/>
    <s v="Self-employed"/>
    <s v="Without Loan"/>
    <s v="Low-Risk"/>
  </r>
  <r>
    <s v="T000013"/>
    <s v="C7949"/>
    <s v="AC23839094"/>
    <x v="12"/>
    <x v="9"/>
    <x v="4"/>
    <x v="1"/>
    <n v="3264.7"/>
    <x v="0"/>
    <n v="45647.25"/>
    <s v="Medium"/>
    <x v="1"/>
    <n v="43"/>
    <x v="1"/>
    <s v="Male"/>
    <s v="Credit"/>
    <x v="12"/>
    <s v="EUR"/>
    <x v="0"/>
    <n v="4.5199999999999997E-2"/>
    <n v="4.5199999999999996"/>
    <s v="high"/>
    <n v="26681.654999999999"/>
    <n v="1206.0108059999998"/>
    <n v="6"/>
    <n v="430"/>
    <x v="0"/>
    <n v="1"/>
    <s v="Default"/>
    <n v="1"/>
    <n v="7673.83"/>
    <s v="High Income"/>
    <s v="Employed"/>
    <s v="Without Loan"/>
    <s v="Low-Risk"/>
  </r>
  <r>
    <s v="T000014"/>
    <s v="C3433"/>
    <s v="AC26701250"/>
    <x v="13"/>
    <x v="7"/>
    <x v="4"/>
    <x v="2"/>
    <n v="9885.32"/>
    <x v="1"/>
    <n v="18388.18"/>
    <s v="Medium"/>
    <x v="0"/>
    <n v="63"/>
    <x v="3"/>
    <s v="Male"/>
    <s v="Savings"/>
    <x v="13"/>
    <s v="GBP"/>
    <x v="1"/>
    <n v="2.9499999999999998E-2"/>
    <n v="2.95"/>
    <s v="low"/>
    <n v="26681.654999999999"/>
    <n v="787.10882249999997"/>
    <n v="13"/>
    <n v="569"/>
    <x v="0"/>
    <n v="0"/>
    <s v="Good"/>
    <n v="1"/>
    <n v="9563.2900000000009"/>
    <s v="High Income"/>
    <s v="Unemployed"/>
    <s v="Without Loan"/>
    <s v="Low-Risk"/>
  </r>
  <r>
    <s v="T000015"/>
    <s v="C6311"/>
    <s v="AC62934615"/>
    <x v="14"/>
    <x v="10"/>
    <x v="5"/>
    <x v="0"/>
    <n v="4905.05"/>
    <x v="0"/>
    <n v="21813.8"/>
    <s v="Medium"/>
    <x v="3"/>
    <n v="45"/>
    <x v="1"/>
    <s v="Female"/>
    <s v="Savings"/>
    <x v="14"/>
    <s v="EUR"/>
    <x v="0"/>
    <n v="3.5200000000000002E-2"/>
    <n v="3.52"/>
    <s v="low"/>
    <n v="20349.62"/>
    <n v="716.30662400000006"/>
    <n v="21"/>
    <n v="360"/>
    <x v="0"/>
    <n v="1"/>
    <s v="Default"/>
    <n v="1"/>
    <n v="8786.9599999999991"/>
    <s v="High Income"/>
    <s v="Employed"/>
    <s v="With Loan"/>
    <s v="Low-Risk"/>
  </r>
  <r>
    <s v="T000016"/>
    <s v="C6051"/>
    <s v="AC46992982"/>
    <x v="15"/>
    <x v="11"/>
    <x v="2"/>
    <x v="1"/>
    <n v="1312.1"/>
    <x v="1"/>
    <n v="11551.87"/>
    <s v="Medium"/>
    <x v="3"/>
    <n v="66"/>
    <x v="3"/>
    <s v="Female"/>
    <s v="Savings"/>
    <x v="15"/>
    <s v="EUR"/>
    <x v="2"/>
    <n v="1.32E-2"/>
    <n v="1.32"/>
    <s v="low"/>
    <n v="29371.8"/>
    <n v="387.70776000000001"/>
    <n v="16"/>
    <n v="463"/>
    <x v="0"/>
    <n v="2"/>
    <s v="Good"/>
    <n v="1"/>
    <n v="6301.81"/>
    <s v="High Income"/>
    <s v="Self-employed"/>
    <s v="With Loan"/>
    <s v="Low-Risk"/>
  </r>
  <r>
    <s v="T000017"/>
    <s v="C7420"/>
    <s v="AC77185082"/>
    <x v="16"/>
    <x v="12"/>
    <x v="3"/>
    <x v="1"/>
    <n v="7279.34"/>
    <x v="0"/>
    <n v="30257.69"/>
    <s v="Medium"/>
    <x v="1"/>
    <n v="35"/>
    <x v="0"/>
    <s v="Male"/>
    <s v="Savings"/>
    <x v="16"/>
    <s v="EUR"/>
    <x v="1"/>
    <n v="2.9499999999999998E-2"/>
    <n v="2.95"/>
    <s v="low"/>
    <n v="26681.654999999999"/>
    <n v="787.10882249999997"/>
    <n v="13"/>
    <n v="824"/>
    <x v="1"/>
    <n v="0"/>
    <s v="Good"/>
    <n v="5"/>
    <n v="9051.7999999999993"/>
    <s v="High Income"/>
    <s v="Self-employed"/>
    <s v="Without Loan"/>
    <s v="Low-Risk"/>
  </r>
  <r>
    <s v="T000018"/>
    <s v="C2184"/>
    <s v="AC33656190"/>
    <x v="17"/>
    <x v="1"/>
    <x v="6"/>
    <x v="3"/>
    <n v="3297.81"/>
    <x v="0"/>
    <n v="30145.360000000001"/>
    <s v="Medium"/>
    <x v="0"/>
    <n v="49"/>
    <x v="2"/>
    <s v="Male"/>
    <s v="Savings"/>
    <x v="17"/>
    <s v="USD"/>
    <x v="0"/>
    <n v="1.6199999999999999E-2"/>
    <n v="1.62"/>
    <s v="low"/>
    <n v="33499.050000000003"/>
    <n v="542.68461000000002"/>
    <n v="13"/>
    <n v="571"/>
    <x v="0"/>
    <n v="1"/>
    <s v="Default"/>
    <n v="1"/>
    <n v="14464.41"/>
    <s v="High Income"/>
    <s v="Employed"/>
    <s v="With Loan"/>
    <s v="High-Risk"/>
  </r>
  <r>
    <s v="T000019"/>
    <s v="C5555"/>
    <s v="AC94656124"/>
    <x v="18"/>
    <x v="13"/>
    <x v="3"/>
    <x v="2"/>
    <n v="9971.07"/>
    <x v="1"/>
    <n v="19237.82"/>
    <s v="Medium"/>
    <x v="0"/>
    <n v="20"/>
    <x v="4"/>
    <s v="Female"/>
    <s v="Credit"/>
    <x v="18"/>
    <s v="EUR"/>
    <x v="0"/>
    <n v="2.4799999999999999E-2"/>
    <n v="2.48"/>
    <s v="low"/>
    <n v="26681.654999999999"/>
    <n v="661.70504399999993"/>
    <n v="13"/>
    <n v="432"/>
    <x v="0"/>
    <n v="1"/>
    <s v="Default"/>
    <n v="1"/>
    <n v="4678.2299999999996"/>
    <s v="Middle Income"/>
    <s v="Self-employed"/>
    <s v="Without Loan"/>
    <s v="Low-Risk"/>
  </r>
  <r>
    <s v="T000020"/>
    <s v="C4385"/>
    <s v="AC15579079"/>
    <x v="19"/>
    <x v="0"/>
    <x v="4"/>
    <x v="1"/>
    <n v="9799.85"/>
    <x v="1"/>
    <n v="17318.71"/>
    <s v="Medium"/>
    <x v="2"/>
    <n v="19"/>
    <x v="4"/>
    <s v="Female"/>
    <s v="Savings"/>
    <x v="19"/>
    <s v="USD"/>
    <x v="0"/>
    <n v="2.3199999999999998E-2"/>
    <n v="2.3199999999999998"/>
    <s v="low"/>
    <n v="30022.36"/>
    <n v="696.51875199999995"/>
    <n v="13"/>
    <n v="543"/>
    <x v="0"/>
    <n v="1"/>
    <s v="Default"/>
    <n v="1"/>
    <n v="10512.81"/>
    <s v="High Income"/>
    <s v="Unemployed"/>
    <s v="With Loan"/>
    <s v="Low-Risk"/>
  </r>
  <r>
    <s v="T000021"/>
    <s v="C7396"/>
    <s v="AC54489781"/>
    <x v="20"/>
    <x v="6"/>
    <x v="7"/>
    <x v="2"/>
    <n v="6595.73"/>
    <x v="0"/>
    <n v="44363.25"/>
    <s v="Medium"/>
    <x v="4"/>
    <n v="50"/>
    <x v="2"/>
    <s v="Male"/>
    <s v="Credit"/>
    <x v="20"/>
    <s v="USD"/>
    <x v="1"/>
    <n v="2.69E-2"/>
    <n v="2.69"/>
    <s v="low"/>
    <n v="26681.654999999999"/>
    <n v="717.73651949999999"/>
    <n v="13"/>
    <n v="733"/>
    <x v="3"/>
    <n v="0"/>
    <s v="Good"/>
    <n v="3"/>
    <n v="2564.16"/>
    <s v="Low Income"/>
    <s v="Employed"/>
    <s v="Without Loan"/>
    <s v="Low-Risk"/>
  </r>
  <r>
    <s v="T000022"/>
    <s v="C9666"/>
    <s v="AC90170222"/>
    <x v="21"/>
    <x v="14"/>
    <x v="3"/>
    <x v="1"/>
    <n v="1385.28"/>
    <x v="1"/>
    <n v="19780.93"/>
    <s v="Medium"/>
    <x v="1"/>
    <n v="59"/>
    <x v="2"/>
    <s v="Female"/>
    <s v="Savings"/>
    <x v="21"/>
    <s v="USD"/>
    <x v="1"/>
    <n v="3.2899999999999999E-2"/>
    <n v="3.29"/>
    <s v="low"/>
    <n v="6090.81"/>
    <n v="200.38764900000001"/>
    <n v="13"/>
    <n v="337"/>
    <x v="0"/>
    <n v="0"/>
    <s v="Good"/>
    <n v="1"/>
    <n v="2863.41"/>
    <s v="Low Income"/>
    <s v="Self-employed"/>
    <s v="With Loan"/>
    <s v="Low-Risk"/>
  </r>
  <r>
    <s v="T000023"/>
    <s v="C3558"/>
    <s v="AC39822180"/>
    <x v="22"/>
    <x v="7"/>
    <x v="8"/>
    <x v="0"/>
    <n v="6899.92"/>
    <x v="0"/>
    <n v="25181.55"/>
    <s v="Medium"/>
    <x v="4"/>
    <n v="36"/>
    <x v="1"/>
    <s v="Male"/>
    <s v="Checking"/>
    <x v="22"/>
    <s v="USD"/>
    <x v="1"/>
    <n v="4.6100000000000002E-2"/>
    <n v="4.6100000000000003"/>
    <s v="high"/>
    <n v="26681.654999999999"/>
    <n v="1230.0242955000001"/>
    <n v="27"/>
    <n v="618"/>
    <x v="2"/>
    <n v="0"/>
    <s v="Good"/>
    <n v="2"/>
    <n v="9173.77"/>
    <s v="High Income"/>
    <s v="Self-employed"/>
    <s v="Without Loan"/>
    <s v="Low-Risk"/>
  </r>
  <r>
    <s v="T000024"/>
    <s v="C8849"/>
    <s v="AC63517362"/>
    <x v="23"/>
    <x v="15"/>
    <x v="9"/>
    <x v="0"/>
    <n v="1021"/>
    <x v="1"/>
    <n v="14881.93"/>
    <s v="Medium"/>
    <x v="4"/>
    <n v="34"/>
    <x v="0"/>
    <s v="Male"/>
    <s v="Checking"/>
    <x v="23"/>
    <s v="GBP"/>
    <x v="2"/>
    <n v="2.58E-2"/>
    <n v="2.58"/>
    <s v="low"/>
    <n v="26681.654999999999"/>
    <n v="688.38669900000002"/>
    <n v="13"/>
    <n v="809"/>
    <x v="1"/>
    <n v="2"/>
    <s v="Good"/>
    <n v="5"/>
    <n v="3364.21"/>
    <s v="Middle Income"/>
    <s v="Employed"/>
    <s v="Without Loan"/>
    <s v="Low-Risk"/>
  </r>
  <r>
    <s v="T000025"/>
    <s v="C3047"/>
    <s v="AC93463150"/>
    <x v="24"/>
    <x v="6"/>
    <x v="1"/>
    <x v="1"/>
    <n v="390.71"/>
    <x v="0"/>
    <n v="39551.71"/>
    <s v="Medium"/>
    <x v="1"/>
    <n v="61"/>
    <x v="3"/>
    <s v="Male"/>
    <s v="Savings"/>
    <x v="24"/>
    <s v="USD"/>
    <x v="0"/>
    <n v="4.9200000000000001E-2"/>
    <n v="4.92"/>
    <s v="high"/>
    <n v="35102.92"/>
    <n v="1727.063664"/>
    <n v="4"/>
    <n v="675"/>
    <x v="3"/>
    <n v="1"/>
    <s v="Default"/>
    <n v="3"/>
    <n v="2290.5100000000002"/>
    <s v="Low Income"/>
    <s v="Unemployed"/>
    <s v="With Loan"/>
    <s v="Low-Risk"/>
  </r>
  <r>
    <s v="T000026"/>
    <s v="C3747"/>
    <s v="AC18860935"/>
    <x v="25"/>
    <x v="13"/>
    <x v="6"/>
    <x v="0"/>
    <n v="8247.2900000000009"/>
    <x v="0"/>
    <n v="20474.96"/>
    <s v="Medium"/>
    <x v="0"/>
    <n v="50"/>
    <x v="2"/>
    <s v="Female"/>
    <s v="Checking"/>
    <x v="25"/>
    <s v="EUR"/>
    <x v="0"/>
    <n v="4.0399999999999998E-2"/>
    <n v="4.04"/>
    <s v="high"/>
    <n v="38615.379999999997"/>
    <n v="1560.0613519999999"/>
    <n v="13"/>
    <n v="773"/>
    <x v="4"/>
    <n v="1"/>
    <s v="Default"/>
    <n v="4"/>
    <n v="4229.67"/>
    <s v="Middle Income"/>
    <s v="Employed"/>
    <s v="With Loan"/>
    <s v="Low-Risk"/>
  </r>
  <r>
    <s v="T000027"/>
    <s v="C1189"/>
    <s v="AC34444321"/>
    <x v="26"/>
    <x v="8"/>
    <x v="5"/>
    <x v="1"/>
    <n v="2176.5500000000002"/>
    <x v="0"/>
    <n v="26166.94"/>
    <s v="Medium"/>
    <x v="1"/>
    <n v="29"/>
    <x v="0"/>
    <s v="Male"/>
    <s v="Credit"/>
    <x v="26"/>
    <s v="USD"/>
    <x v="2"/>
    <n v="3.0499999999999999E-2"/>
    <n v="3.05"/>
    <s v="low"/>
    <n v="46216.75"/>
    <n v="1409.6108750000001"/>
    <n v="9"/>
    <n v="358"/>
    <x v="0"/>
    <n v="2"/>
    <s v="Good"/>
    <n v="1"/>
    <n v="9343.0400000000009"/>
    <s v="High Income"/>
    <s v="Self-employed"/>
    <s v="With Loan"/>
    <s v="High-Risk"/>
  </r>
  <r>
    <s v="T000028"/>
    <s v="C3734"/>
    <s v="AC95808215"/>
    <x v="27"/>
    <x v="15"/>
    <x v="2"/>
    <x v="0"/>
    <n v="3852.37"/>
    <x v="1"/>
    <n v="13414.5"/>
    <s v="Medium"/>
    <x v="4"/>
    <n v="66"/>
    <x v="3"/>
    <s v="Male"/>
    <s v="Savings"/>
    <x v="27"/>
    <s v="EUR"/>
    <x v="2"/>
    <n v="3.5799999999999998E-2"/>
    <n v="3.58"/>
    <s v="low"/>
    <n v="48115.53"/>
    <n v="1722.5359739999999"/>
    <n v="5"/>
    <n v="798"/>
    <x v="4"/>
    <n v="2"/>
    <s v="Good"/>
    <n v="4"/>
    <n v="11143.43"/>
    <s v="High Income"/>
    <s v="Self-employed"/>
    <s v="With Loan"/>
    <s v="Low-Risk"/>
  </r>
  <r>
    <s v="T000029"/>
    <s v="C4005"/>
    <s v="AC25105101"/>
    <x v="28"/>
    <x v="16"/>
    <x v="8"/>
    <x v="3"/>
    <n v="9737.23"/>
    <x v="0"/>
    <n v="49395.32"/>
    <s v="Medium"/>
    <x v="0"/>
    <n v="20"/>
    <x v="4"/>
    <s v="Female"/>
    <s v="Credit"/>
    <x v="28"/>
    <s v="USD"/>
    <x v="1"/>
    <n v="1.41E-2"/>
    <n v="1.41"/>
    <s v="low"/>
    <n v="5473.67"/>
    <n v="77.178747000000001"/>
    <n v="19"/>
    <n v="517"/>
    <x v="0"/>
    <n v="0"/>
    <s v="Good"/>
    <n v="1"/>
    <n v="4632.22"/>
    <s v="Middle Income"/>
    <s v="Employed"/>
    <s v="With Loan"/>
    <s v="Low-Risk"/>
  </r>
  <r>
    <s v="T000030"/>
    <s v="C5658"/>
    <s v="AC50576287"/>
    <x v="29"/>
    <x v="12"/>
    <x v="10"/>
    <x v="3"/>
    <n v="3434.72"/>
    <x v="1"/>
    <n v="15283.29"/>
    <s v="Medium"/>
    <x v="3"/>
    <n v="60"/>
    <x v="2"/>
    <s v="Female"/>
    <s v="Savings"/>
    <x v="29"/>
    <s v="GBP"/>
    <x v="1"/>
    <n v="4.3799999999999999E-2"/>
    <n v="4.38"/>
    <s v="high"/>
    <n v="26681.654999999999"/>
    <n v="1168.656489"/>
    <n v="22"/>
    <n v="428"/>
    <x v="0"/>
    <n v="0"/>
    <s v="Good"/>
    <n v="1"/>
    <n v="10687.37"/>
    <s v="High Income"/>
    <s v="Unemployed"/>
    <s v="Without Loan"/>
    <s v="Low-Risk"/>
  </r>
  <r>
    <s v="T000031"/>
    <s v="C2899"/>
    <s v="AC61309687"/>
    <x v="30"/>
    <x v="10"/>
    <x v="2"/>
    <x v="3"/>
    <n v="3035.25"/>
    <x v="0"/>
    <n v="38766.379999999997"/>
    <s v="Medium"/>
    <x v="1"/>
    <n v="66"/>
    <x v="3"/>
    <s v="Male"/>
    <s v="Checking"/>
    <x v="30"/>
    <s v="USD"/>
    <x v="1"/>
    <n v="3.3300000000000003E-2"/>
    <n v="3.33"/>
    <s v="low"/>
    <n v="26681.654999999999"/>
    <n v="888.49911150000003"/>
    <n v="3"/>
    <n v="682"/>
    <x v="3"/>
    <n v="0"/>
    <s v="Good"/>
    <n v="3"/>
    <n v="4372.1899999999996"/>
    <s v="Middle Income"/>
    <s v="Unemployed"/>
    <s v="Without Loan"/>
    <s v="Low-Risk"/>
  </r>
  <r>
    <s v="T000032"/>
    <s v="C8734"/>
    <s v="AC86106218"/>
    <x v="31"/>
    <x v="17"/>
    <x v="8"/>
    <x v="2"/>
    <n v="9190.26"/>
    <x v="0"/>
    <n v="21947.29"/>
    <s v="Medium"/>
    <x v="1"/>
    <n v="43"/>
    <x v="1"/>
    <s v="Male"/>
    <s v="Credit"/>
    <x v="31"/>
    <s v="USD"/>
    <x v="1"/>
    <n v="4.9399999999999999E-2"/>
    <n v="4.9400000000000004"/>
    <s v="high"/>
    <n v="33958.589999999997"/>
    <n v="1677.5543459999999"/>
    <n v="21"/>
    <n v="687"/>
    <x v="3"/>
    <n v="0"/>
    <s v="Good"/>
    <n v="3"/>
    <n v="9974.9500000000007"/>
    <s v="High Income"/>
    <s v="Unemployed"/>
    <s v="With Loan"/>
    <s v="Low-Risk"/>
  </r>
  <r>
    <s v="T000033"/>
    <s v="C2267"/>
    <s v="AC39677043"/>
    <x v="32"/>
    <x v="18"/>
    <x v="9"/>
    <x v="2"/>
    <n v="1196.4100000000001"/>
    <x v="1"/>
    <n v="11104.65"/>
    <s v="Medium"/>
    <x v="0"/>
    <n v="52"/>
    <x v="2"/>
    <s v="Female"/>
    <s v="Checking"/>
    <x v="32"/>
    <s v="GBP"/>
    <x v="1"/>
    <n v="3.5499999999999997E-2"/>
    <n v="3.55"/>
    <s v="low"/>
    <n v="26681.654999999999"/>
    <n v="947.19875249999984"/>
    <n v="13"/>
    <n v="384"/>
    <x v="0"/>
    <n v="0"/>
    <s v="Good"/>
    <n v="1"/>
    <n v="7355.48"/>
    <s v="High Income"/>
    <s v="Employed"/>
    <s v="Without Loan"/>
    <s v="Low-Risk"/>
  </r>
  <r>
    <s v="T000034"/>
    <s v="C2528"/>
    <s v="AC60831524"/>
    <x v="33"/>
    <x v="1"/>
    <x v="6"/>
    <x v="3"/>
    <n v="7619.87"/>
    <x v="0"/>
    <n v="40186.22"/>
    <s v="Medium"/>
    <x v="3"/>
    <n v="25"/>
    <x v="4"/>
    <s v="Female"/>
    <s v="Checking"/>
    <x v="33"/>
    <s v="USD"/>
    <x v="1"/>
    <n v="4.3400000000000001E-2"/>
    <n v="4.34"/>
    <s v="high"/>
    <n v="26681.654999999999"/>
    <n v="1157.983827"/>
    <n v="13"/>
    <n v="809"/>
    <x v="1"/>
    <n v="0"/>
    <s v="Good"/>
    <n v="5"/>
    <n v="10499.39"/>
    <s v="High Income"/>
    <s v="Unemployed"/>
    <s v="Without Loan"/>
    <s v="Low-Risk"/>
  </r>
  <r>
    <s v="T000035"/>
    <s v="C4556"/>
    <s v="AC79071029"/>
    <x v="34"/>
    <x v="19"/>
    <x v="5"/>
    <x v="2"/>
    <n v="9881.85"/>
    <x v="1"/>
    <n v="17346.73"/>
    <s v="Medium"/>
    <x v="3"/>
    <n v="69"/>
    <x v="3"/>
    <s v="Female"/>
    <s v="Savings"/>
    <x v="34"/>
    <s v="EUR"/>
    <x v="2"/>
    <n v="4.2000000000000003E-2"/>
    <n v="4.2000000000000003E-2"/>
    <s v="low"/>
    <n v="11547.12"/>
    <n v="484.97904000000005"/>
    <n v="13"/>
    <n v="736"/>
    <x v="3"/>
    <n v="2"/>
    <s v="Good"/>
    <n v="3"/>
    <n v="14935.69"/>
    <s v="High Income"/>
    <s v="Unemployed"/>
    <s v="With Loan"/>
    <s v="Low-Risk"/>
  </r>
  <r>
    <s v="T000036"/>
    <s v="C4890"/>
    <s v="AC85094484"/>
    <x v="35"/>
    <x v="18"/>
    <x v="1"/>
    <x v="0"/>
    <n v="9022.83"/>
    <x v="0"/>
    <n v="43394.47"/>
    <s v="Medium"/>
    <x v="0"/>
    <n v="53"/>
    <x v="2"/>
    <s v="Male"/>
    <s v="Credit"/>
    <x v="35"/>
    <s v="USD"/>
    <x v="2"/>
    <n v="2.3800000000000002E-2"/>
    <n v="2.38"/>
    <s v="low"/>
    <n v="26681.654999999999"/>
    <n v="635.02338900000007"/>
    <n v="10"/>
    <n v="592"/>
    <x v="2"/>
    <n v="2"/>
    <s v="Good"/>
    <n v="2"/>
    <n v="14191.62"/>
    <s v="High Income"/>
    <s v="Unemployed"/>
    <s v="Without Loan"/>
    <s v="Low-Risk"/>
  </r>
  <r>
    <s v="T000037"/>
    <s v="C9838"/>
    <s v="AC10611213"/>
    <x v="36"/>
    <x v="20"/>
    <x v="1"/>
    <x v="1"/>
    <n v="6551.51"/>
    <x v="0"/>
    <n v="45847.6"/>
    <s v="Medium"/>
    <x v="2"/>
    <n v="24"/>
    <x v="4"/>
    <s v="Male"/>
    <s v="Checking"/>
    <x v="36"/>
    <s v="USD"/>
    <x v="2"/>
    <n v="2.0400000000000001E-2"/>
    <n v="2.04"/>
    <s v="low"/>
    <n v="26681.654999999999"/>
    <n v="544.30576199999996"/>
    <n v="13"/>
    <n v="348"/>
    <x v="0"/>
    <n v="2"/>
    <s v="Good"/>
    <n v="1"/>
    <n v="2055.66"/>
    <s v="Low Income"/>
    <s v="Unemployed"/>
    <s v="Without Loan"/>
    <s v="Low-Risk"/>
  </r>
  <r>
    <s v="T000038"/>
    <s v="C6393"/>
    <s v="AC61100382"/>
    <x v="37"/>
    <x v="2"/>
    <x v="0"/>
    <x v="1"/>
    <n v="3209.2"/>
    <x v="0"/>
    <n v="43131.37"/>
    <s v="Medium"/>
    <x v="1"/>
    <n v="63"/>
    <x v="3"/>
    <s v="Male"/>
    <s v="Savings"/>
    <x v="37"/>
    <s v="USD"/>
    <x v="0"/>
    <n v="2.7199999999999998E-2"/>
    <n v="2.72"/>
    <s v="low"/>
    <n v="34068.39"/>
    <n v="926.6602079999999"/>
    <n v="13"/>
    <n v="366"/>
    <x v="0"/>
    <n v="1"/>
    <s v="Default"/>
    <n v="1"/>
    <n v="13510.7"/>
    <s v="High Income"/>
    <s v="Self-employed"/>
    <s v="With Loan"/>
    <s v="High-Risk"/>
  </r>
  <r>
    <s v="T000039"/>
    <s v="C9792"/>
    <s v="AC59349430"/>
    <x v="38"/>
    <x v="14"/>
    <x v="1"/>
    <x v="1"/>
    <n v="2617.79"/>
    <x v="1"/>
    <n v="2715.39"/>
    <s v="Low"/>
    <x v="1"/>
    <n v="63"/>
    <x v="3"/>
    <s v="Female"/>
    <s v="Savings"/>
    <x v="38"/>
    <s v="GBP"/>
    <x v="0"/>
    <n v="2.87E-2"/>
    <n v="2.87"/>
    <s v="low"/>
    <n v="24566.07"/>
    <n v="705.04620899999998"/>
    <n v="3"/>
    <n v="428"/>
    <x v="0"/>
    <n v="1"/>
    <s v="Default"/>
    <n v="1"/>
    <n v="2864.38"/>
    <s v="Low Income"/>
    <s v="Employed"/>
    <s v="With Loan"/>
    <s v="Low-Risk"/>
  </r>
  <r>
    <s v="T000040"/>
    <s v="C9433"/>
    <s v="AC65842822"/>
    <x v="39"/>
    <x v="11"/>
    <x v="3"/>
    <x v="3"/>
    <n v="8210.6299999999992"/>
    <x v="0"/>
    <n v="39581.29"/>
    <s v="Medium"/>
    <x v="4"/>
    <n v="53"/>
    <x v="2"/>
    <s v="Male"/>
    <s v="Savings"/>
    <x v="39"/>
    <s v="USD"/>
    <x v="1"/>
    <n v="1.9599999999999999E-2"/>
    <n v="1.96"/>
    <s v="low"/>
    <n v="26681.654999999999"/>
    <n v="522.96043799999995"/>
    <n v="13"/>
    <n v="328"/>
    <x v="0"/>
    <n v="0"/>
    <s v="Good"/>
    <n v="1"/>
    <n v="14389.61"/>
    <s v="High Income"/>
    <s v="Employed"/>
    <s v="Without Loan"/>
    <s v="Low-Risk"/>
  </r>
  <r>
    <s v="T000041"/>
    <s v="C8513"/>
    <s v="AC45393865"/>
    <x v="40"/>
    <x v="12"/>
    <x v="7"/>
    <x v="2"/>
    <n v="8810.24"/>
    <x v="0"/>
    <n v="21155.63"/>
    <s v="Medium"/>
    <x v="0"/>
    <n v="33"/>
    <x v="0"/>
    <s v="Female"/>
    <s v="Checking"/>
    <x v="40"/>
    <s v="USD"/>
    <x v="2"/>
    <n v="4.58E-2"/>
    <n v="4.58"/>
    <s v="high"/>
    <n v="9840.26"/>
    <n v="450.68390800000003"/>
    <n v="24"/>
    <n v="642"/>
    <x v="2"/>
    <n v="2"/>
    <s v="Good"/>
    <n v="2"/>
    <n v="5663.73"/>
    <s v="High Income"/>
    <s v="Unemployed"/>
    <s v="With Loan"/>
    <s v="Low-Risk"/>
  </r>
  <r>
    <s v="T000042"/>
    <s v="C3612"/>
    <s v="AC83678496"/>
    <x v="41"/>
    <x v="21"/>
    <x v="9"/>
    <x v="0"/>
    <n v="5301.81"/>
    <x v="0"/>
    <n v="43812.42"/>
    <s v="Medium"/>
    <x v="4"/>
    <n v="41"/>
    <x v="1"/>
    <s v="Male"/>
    <s v="Savings"/>
    <x v="41"/>
    <s v="EUR"/>
    <x v="0"/>
    <n v="3.1699999999999999E-2"/>
    <n v="3.17"/>
    <s v="low"/>
    <n v="26681.654999999999"/>
    <n v="845.8084634999999"/>
    <n v="13"/>
    <n v="844"/>
    <x v="1"/>
    <n v="1"/>
    <s v="Default"/>
    <n v="5"/>
    <n v="6966.45"/>
    <s v="High Income"/>
    <s v="Employed"/>
    <s v="Without Loan"/>
    <s v="Low-Risk"/>
  </r>
  <r>
    <s v="T000043"/>
    <s v="C8041"/>
    <s v="AC97558294"/>
    <x v="42"/>
    <x v="19"/>
    <x v="0"/>
    <x v="0"/>
    <n v="2518.9699999999998"/>
    <x v="0"/>
    <n v="32259.759999999998"/>
    <s v="Medium"/>
    <x v="4"/>
    <n v="18"/>
    <x v="4"/>
    <s v="Female"/>
    <s v="Credit"/>
    <x v="42"/>
    <s v="USD"/>
    <x v="0"/>
    <n v="4.9099999999999998E-2"/>
    <n v="4.91"/>
    <s v="high"/>
    <n v="10548.76"/>
    <n v="517.94411600000001"/>
    <n v="22"/>
    <n v="418"/>
    <x v="0"/>
    <n v="1"/>
    <s v="Default"/>
    <n v="1"/>
    <n v="3191.3"/>
    <s v="Middle Income"/>
    <s v="Employed"/>
    <s v="With Loan"/>
    <s v="Low-Risk"/>
  </r>
  <r>
    <s v="T000044"/>
    <s v="C7235"/>
    <s v="AC28803796"/>
    <x v="43"/>
    <x v="10"/>
    <x v="3"/>
    <x v="3"/>
    <n v="1218.1400000000001"/>
    <x v="0"/>
    <n v="41848.51"/>
    <s v="Medium"/>
    <x v="3"/>
    <n v="66"/>
    <x v="3"/>
    <s v="Male"/>
    <s v="Credit"/>
    <x v="43"/>
    <s v="USD"/>
    <x v="2"/>
    <n v="4.24E-2"/>
    <n v="4.24"/>
    <s v="high"/>
    <n v="26890.1"/>
    <n v="1140.1402399999999"/>
    <n v="18"/>
    <n v="432"/>
    <x v="0"/>
    <n v="2"/>
    <s v="Good"/>
    <n v="1"/>
    <n v="3459.55"/>
    <s v="Middle Income"/>
    <s v="Self-employed"/>
    <s v="With Loan"/>
    <s v="Low-Risk"/>
  </r>
  <r>
    <s v="T000045"/>
    <s v="C6486"/>
    <s v="AC16202258"/>
    <x v="44"/>
    <x v="22"/>
    <x v="0"/>
    <x v="0"/>
    <n v="963.08"/>
    <x v="0"/>
    <n v="25472.16"/>
    <s v="Medium"/>
    <x v="1"/>
    <n v="42"/>
    <x v="1"/>
    <s v="Male"/>
    <s v="Checking"/>
    <x v="44"/>
    <s v="USD"/>
    <x v="0"/>
    <n v="3.2199999999999999E-2"/>
    <n v="3.22"/>
    <s v="low"/>
    <n v="33134.769999999997"/>
    <n v="1066.9395939999999"/>
    <n v="13"/>
    <n v="626"/>
    <x v="2"/>
    <n v="1"/>
    <s v="Default"/>
    <n v="2"/>
    <n v="11447.63"/>
    <s v="High Income"/>
    <s v="Employed"/>
    <s v="With Loan"/>
    <s v="Low-Risk"/>
  </r>
  <r>
    <s v="T000046"/>
    <s v="C8099"/>
    <s v="AC98225315"/>
    <x v="45"/>
    <x v="23"/>
    <x v="6"/>
    <x v="0"/>
    <n v="7218.87"/>
    <x v="0"/>
    <n v="27216.25"/>
    <s v="Medium"/>
    <x v="4"/>
    <n v="27"/>
    <x v="0"/>
    <s v="Female"/>
    <s v="Credit"/>
    <x v="45"/>
    <s v="USD"/>
    <x v="0"/>
    <n v="4.7899999999999998E-2"/>
    <n v="4.79"/>
    <s v="high"/>
    <n v="42232.29"/>
    <n v="2022.9266909999999"/>
    <n v="8"/>
    <n v="484"/>
    <x v="0"/>
    <n v="1"/>
    <s v="Default"/>
    <n v="1"/>
    <n v="14276.32"/>
    <s v="High Income"/>
    <s v="Self-employed"/>
    <s v="With Loan"/>
    <s v="High-Risk"/>
  </r>
  <r>
    <s v="T000047"/>
    <s v="C1775"/>
    <s v="AC86989724"/>
    <x v="46"/>
    <x v="22"/>
    <x v="3"/>
    <x v="0"/>
    <n v="4259.18"/>
    <x v="1"/>
    <n v="8074.99"/>
    <s v="Low"/>
    <x v="3"/>
    <n v="33"/>
    <x v="0"/>
    <s v="Female"/>
    <s v="Savings"/>
    <x v="24"/>
    <s v="EUR"/>
    <x v="2"/>
    <n v="3.0200000000000001E-2"/>
    <n v="3.02"/>
    <s v="low"/>
    <n v="26681.654999999999"/>
    <n v="805.78598099999999"/>
    <n v="13"/>
    <n v="805"/>
    <x v="1"/>
    <n v="2"/>
    <s v="Good"/>
    <n v="5"/>
    <n v="9939.73"/>
    <s v="High Income"/>
    <s v="Employed"/>
    <s v="Without Loan"/>
    <s v="Low-Risk"/>
  </r>
  <r>
    <s v="T000048"/>
    <s v="C9226"/>
    <s v="AC75174203"/>
    <x v="47"/>
    <x v="2"/>
    <x v="4"/>
    <x v="0"/>
    <n v="9063.06"/>
    <x v="0"/>
    <n v="39415.379999999997"/>
    <s v="Medium"/>
    <x v="0"/>
    <n v="33"/>
    <x v="0"/>
    <s v="Male"/>
    <s v="Checking"/>
    <x v="46"/>
    <s v="EUR"/>
    <x v="0"/>
    <n v="4.5499999999999999E-2"/>
    <n v="4.55"/>
    <s v="high"/>
    <n v="7933.99"/>
    <n v="360.99654499999997"/>
    <n v="25"/>
    <n v="833"/>
    <x v="1"/>
    <n v="1"/>
    <s v="Default"/>
    <n v="5"/>
    <n v="11306.05"/>
    <s v="High Income"/>
    <s v="Self-employed"/>
    <s v="With Loan"/>
    <s v="Low-Risk"/>
  </r>
  <r>
    <s v="T000049"/>
    <s v="C4152"/>
    <s v="AC80635601"/>
    <x v="48"/>
    <x v="24"/>
    <x v="3"/>
    <x v="2"/>
    <n v="7422.75"/>
    <x v="0"/>
    <n v="21550.09"/>
    <s v="Medium"/>
    <x v="4"/>
    <n v="25"/>
    <x v="4"/>
    <s v="Female"/>
    <s v="Savings"/>
    <x v="47"/>
    <s v="GBP"/>
    <x v="2"/>
    <n v="2.4299999999999999E-2"/>
    <n v="2.4300000000000002"/>
    <s v="low"/>
    <n v="18834.46"/>
    <n v="457.67737799999998"/>
    <n v="13"/>
    <n v="540"/>
    <x v="0"/>
    <n v="2"/>
    <s v="Good"/>
    <n v="1"/>
    <n v="11905.61"/>
    <s v="High Income"/>
    <s v="Self-employed"/>
    <s v="With Loan"/>
    <s v="Low-Risk"/>
  </r>
  <r>
    <s v="T000050"/>
    <s v="C2585"/>
    <s v="AC85899393"/>
    <x v="49"/>
    <x v="9"/>
    <x v="0"/>
    <x v="0"/>
    <n v="1993.48"/>
    <x v="0"/>
    <n v="25503.93"/>
    <s v="Medium"/>
    <x v="1"/>
    <n v="46"/>
    <x v="2"/>
    <s v="Female"/>
    <s v="Checking"/>
    <x v="48"/>
    <s v="USD"/>
    <x v="0"/>
    <n v="2.5100000000000001E-2"/>
    <n v="2.5099999999999998"/>
    <s v="low"/>
    <n v="26681.654999999999"/>
    <n v="669.7095405"/>
    <n v="13"/>
    <n v="815"/>
    <x v="1"/>
    <n v="1"/>
    <s v="Default"/>
    <n v="5"/>
    <n v="5416.59"/>
    <s v="High Income"/>
    <s v="Employed"/>
    <s v="Without Loan"/>
    <s v="Low-Risk"/>
  </r>
  <r>
    <s v="T000051"/>
    <s v="C4943"/>
    <s v="AC28786176"/>
    <x v="50"/>
    <x v="25"/>
    <x v="2"/>
    <x v="1"/>
    <n v="6176.4"/>
    <x v="0"/>
    <n v="39469.79"/>
    <s v="Medium"/>
    <x v="4"/>
    <n v="56"/>
    <x v="2"/>
    <s v="Male"/>
    <s v="Checking"/>
    <x v="49"/>
    <s v="GBP"/>
    <x v="2"/>
    <n v="2.6700000000000002E-2"/>
    <n v="2.67"/>
    <s v="low"/>
    <n v="26681.654999999999"/>
    <n v="712.40018850000001"/>
    <n v="26"/>
    <n v="464"/>
    <x v="0"/>
    <n v="2"/>
    <s v="Good"/>
    <n v="1"/>
    <n v="2587.9899999999998"/>
    <s v="Low Income"/>
    <s v="Self-employed"/>
    <s v="Without Loan"/>
    <s v="Low-Risk"/>
  </r>
  <r>
    <s v="T000052"/>
    <s v="C8555"/>
    <s v="AC31232430"/>
    <x v="51"/>
    <x v="10"/>
    <x v="3"/>
    <x v="3"/>
    <n v="4411.5"/>
    <x v="0"/>
    <n v="30343.42"/>
    <s v="Medium"/>
    <x v="0"/>
    <n v="45"/>
    <x v="1"/>
    <s v="Female"/>
    <s v="Savings"/>
    <x v="50"/>
    <s v="GBP"/>
    <x v="0"/>
    <n v="3.1899999999999998E-2"/>
    <n v="3.19"/>
    <s v="low"/>
    <n v="26681.654999999999"/>
    <n v="851.14479449999988"/>
    <n v="13"/>
    <n v="517"/>
    <x v="0"/>
    <n v="1"/>
    <s v="Default"/>
    <n v="1"/>
    <n v="2024.35"/>
    <s v="Low Income"/>
    <s v="Self-employed"/>
    <s v="Without Loan"/>
    <s v="Low-Risk"/>
  </r>
  <r>
    <s v="T000053"/>
    <s v="C4073"/>
    <s v="AC50473321"/>
    <x v="52"/>
    <x v="26"/>
    <x v="2"/>
    <x v="2"/>
    <n v="5814.77"/>
    <x v="1"/>
    <n v="10853.84"/>
    <s v="Medium"/>
    <x v="4"/>
    <n v="23"/>
    <x v="4"/>
    <s v="Male"/>
    <s v="Credit"/>
    <x v="51"/>
    <s v="USD"/>
    <x v="0"/>
    <n v="3.2099999999999997E-2"/>
    <n v="3.21"/>
    <s v="low"/>
    <n v="26681.654999999999"/>
    <n v="856.48112549999985"/>
    <n v="13"/>
    <n v="304"/>
    <x v="0"/>
    <n v="1"/>
    <s v="Default"/>
    <n v="1"/>
    <n v="6558.44"/>
    <s v="High Income"/>
    <s v="Employed"/>
    <s v="Without Loan"/>
    <s v="Low-Risk"/>
  </r>
  <r>
    <s v="T000054"/>
    <s v="C2021"/>
    <s v="AC64148094"/>
    <x v="25"/>
    <x v="13"/>
    <x v="6"/>
    <x v="0"/>
    <n v="7406.88"/>
    <x v="0"/>
    <n v="29921.4"/>
    <s v="Medium"/>
    <x v="1"/>
    <n v="33"/>
    <x v="0"/>
    <s v="Male"/>
    <s v="Credit"/>
    <x v="52"/>
    <s v="EUR"/>
    <x v="2"/>
    <n v="2.9899999999999999E-2"/>
    <n v="2.99"/>
    <s v="low"/>
    <n v="8201.99"/>
    <n v="245.23950099999999"/>
    <n v="13"/>
    <n v="380"/>
    <x v="0"/>
    <n v="2"/>
    <s v="Good"/>
    <n v="1"/>
    <n v="5139.03"/>
    <s v="High Income"/>
    <s v="Self-employed"/>
    <s v="With Loan"/>
    <s v="Low-Risk"/>
  </r>
  <r>
    <s v="T000055"/>
    <s v="C4843"/>
    <s v="AC30153729"/>
    <x v="53"/>
    <x v="8"/>
    <x v="9"/>
    <x v="2"/>
    <n v="8081.34"/>
    <x v="0"/>
    <n v="20974.01"/>
    <s v="Medium"/>
    <x v="3"/>
    <n v="37"/>
    <x v="1"/>
    <s v="Female"/>
    <s v="Checking"/>
    <x v="53"/>
    <s v="EUR"/>
    <x v="0"/>
    <n v="2.2200000000000001E-2"/>
    <n v="2.2200000000000002"/>
    <s v="low"/>
    <n v="26681.654999999999"/>
    <n v="592.33274100000006"/>
    <n v="10"/>
    <n v="546"/>
    <x v="0"/>
    <n v="1"/>
    <s v="Default"/>
    <n v="1"/>
    <n v="2810.13"/>
    <s v="Low Income"/>
    <s v="Self-employed"/>
    <s v="Without Loan"/>
    <s v="Low-Risk"/>
  </r>
  <r>
    <s v="T000056"/>
    <s v="C8989"/>
    <s v="AC92932418"/>
    <x v="54"/>
    <x v="15"/>
    <x v="9"/>
    <x v="0"/>
    <n v="8453"/>
    <x v="0"/>
    <n v="24006.75"/>
    <s v="Medium"/>
    <x v="1"/>
    <n v="33"/>
    <x v="0"/>
    <s v="Female"/>
    <s v="Savings"/>
    <x v="54"/>
    <s v="USD"/>
    <x v="2"/>
    <n v="4.7100000000000003E-2"/>
    <n v="4.71"/>
    <s v="high"/>
    <n v="44968.55"/>
    <n v="2118.0187050000004"/>
    <n v="23"/>
    <n v="792"/>
    <x v="4"/>
    <n v="2"/>
    <s v="Good"/>
    <n v="4"/>
    <n v="4333.87"/>
    <s v="Middle Income"/>
    <s v="Self-employed"/>
    <s v="With Loan"/>
    <s v="Low-Risk"/>
  </r>
  <r>
    <s v="T000057"/>
    <s v="C7873"/>
    <s v="AC22790902"/>
    <x v="55"/>
    <x v="18"/>
    <x v="4"/>
    <x v="1"/>
    <n v="2614.35"/>
    <x v="1"/>
    <n v="2387.25"/>
    <s v="Low"/>
    <x v="3"/>
    <n v="24"/>
    <x v="4"/>
    <s v="Male"/>
    <s v="Savings"/>
    <x v="53"/>
    <s v="USD"/>
    <x v="2"/>
    <n v="3.3500000000000002E-2"/>
    <n v="3.35"/>
    <s v="low"/>
    <n v="26681.654999999999"/>
    <n v="893.8354425"/>
    <n v="13"/>
    <n v="685"/>
    <x v="3"/>
    <n v="2"/>
    <s v="Good"/>
    <n v="3"/>
    <n v="3618.49"/>
    <s v="Middle Income"/>
    <s v="Self-employed"/>
    <s v="Without Loan"/>
    <s v="Low-Risk"/>
  </r>
  <r>
    <s v="T000058"/>
    <s v="C6675"/>
    <s v="AC87582731"/>
    <x v="56"/>
    <x v="4"/>
    <x v="2"/>
    <x v="3"/>
    <n v="408.04"/>
    <x v="1"/>
    <n v="11291.44"/>
    <s v="Medium"/>
    <x v="2"/>
    <n v="58"/>
    <x v="2"/>
    <s v="Male"/>
    <s v="Checking"/>
    <x v="55"/>
    <s v="EUR"/>
    <x v="0"/>
    <n v="2.63E-2"/>
    <n v="2.63"/>
    <s v="low"/>
    <n v="43028.67"/>
    <n v="1131.6540210000001"/>
    <n v="13"/>
    <n v="606"/>
    <x v="2"/>
    <n v="1"/>
    <s v="Default"/>
    <n v="2"/>
    <n v="13893.42"/>
    <s v="High Income"/>
    <s v="Self-employed"/>
    <s v="With Loan"/>
    <s v="Low-Risk"/>
  </r>
  <r>
    <s v="T000059"/>
    <s v="C1161"/>
    <s v="AC87973011"/>
    <x v="57"/>
    <x v="6"/>
    <x v="9"/>
    <x v="0"/>
    <n v="7419.02"/>
    <x v="1"/>
    <n v="14770.87"/>
    <s v="Medium"/>
    <x v="1"/>
    <n v="31"/>
    <x v="0"/>
    <s v="Male"/>
    <s v="Credit"/>
    <x v="56"/>
    <s v="USD"/>
    <x v="1"/>
    <n v="3.5999999999999997E-2"/>
    <n v="3.5999999999999997E-2"/>
    <s v="low"/>
    <n v="26681.654999999999"/>
    <n v="960.53957999999989"/>
    <n v="4"/>
    <n v="842"/>
    <x v="1"/>
    <n v="0"/>
    <s v="Good"/>
    <n v="5"/>
    <n v="3823.47"/>
    <s v="Middle Income"/>
    <s v="Unemployed"/>
    <s v="Without Loan"/>
    <s v="Low-Risk"/>
  </r>
  <r>
    <s v="T000060"/>
    <s v="C5297"/>
    <s v="AC16193956"/>
    <x v="58"/>
    <x v="18"/>
    <x v="0"/>
    <x v="0"/>
    <n v="1152.8"/>
    <x v="0"/>
    <n v="35935.040000000001"/>
    <s v="Medium"/>
    <x v="1"/>
    <n v="60"/>
    <x v="2"/>
    <s v="Male"/>
    <s v="Savings"/>
    <x v="57"/>
    <s v="USD"/>
    <x v="0"/>
    <n v="4.07E-2"/>
    <n v="4.07"/>
    <s v="high"/>
    <n v="12984.42"/>
    <n v="528.46589400000005"/>
    <n v="28"/>
    <n v="306"/>
    <x v="0"/>
    <n v="1"/>
    <s v="Default"/>
    <n v="1"/>
    <n v="8989.43"/>
    <s v="High Income"/>
    <s v="Self-employed"/>
    <s v="With Loan"/>
    <s v="Low-Risk"/>
  </r>
  <r>
    <s v="T000061"/>
    <s v="C1995"/>
    <s v="AC23579173"/>
    <x v="59"/>
    <x v="14"/>
    <x v="8"/>
    <x v="0"/>
    <n v="3217.7"/>
    <x v="1"/>
    <n v="1563.13"/>
    <s v="Low"/>
    <x v="0"/>
    <n v="43"/>
    <x v="1"/>
    <s v="Male"/>
    <s v="Credit"/>
    <x v="58"/>
    <s v="USD"/>
    <x v="1"/>
    <n v="4.8399999999999999E-2"/>
    <n v="4.84"/>
    <s v="high"/>
    <n v="26486.959999999999"/>
    <n v="1281.9688639999999"/>
    <n v="13"/>
    <n v="814"/>
    <x v="1"/>
    <n v="0"/>
    <s v="Good"/>
    <n v="5"/>
    <n v="9710.3799999999992"/>
    <s v="High Income"/>
    <s v="Self-employed"/>
    <s v="With Loan"/>
    <s v="Low-Risk"/>
  </r>
  <r>
    <s v="T000062"/>
    <s v="C8629"/>
    <s v="AC99323229"/>
    <x v="60"/>
    <x v="8"/>
    <x v="3"/>
    <x v="0"/>
    <n v="137.79"/>
    <x v="0"/>
    <n v="21030.09"/>
    <s v="Medium"/>
    <x v="4"/>
    <n v="43"/>
    <x v="1"/>
    <s v="Male"/>
    <s v="Credit"/>
    <x v="59"/>
    <s v="EUR"/>
    <x v="1"/>
    <n v="0.03"/>
    <n v="0.03"/>
    <s v="low"/>
    <n v="26681.654999999999"/>
    <n v="800.44964999999991"/>
    <n v="16"/>
    <n v="372"/>
    <x v="0"/>
    <n v="0"/>
    <s v="Good"/>
    <n v="1"/>
    <n v="9065.36"/>
    <s v="High Income"/>
    <s v="Self-employed"/>
    <s v="Without Loan"/>
    <s v="Low-Risk"/>
  </r>
  <r>
    <s v="T000063"/>
    <s v="C2016"/>
    <s v="AC91638280"/>
    <x v="61"/>
    <x v="3"/>
    <x v="0"/>
    <x v="3"/>
    <n v="6848.53"/>
    <x v="0"/>
    <n v="46277.32"/>
    <s v="Medium"/>
    <x v="3"/>
    <n v="31"/>
    <x v="0"/>
    <s v="Female"/>
    <s v="Checking"/>
    <x v="60"/>
    <s v="GBP"/>
    <x v="0"/>
    <n v="1.4500000000000001E-2"/>
    <n v="1.45"/>
    <s v="low"/>
    <n v="27046.93"/>
    <n v="392.18048500000003"/>
    <n v="18"/>
    <n v="309"/>
    <x v="0"/>
    <n v="1"/>
    <s v="Default"/>
    <n v="1"/>
    <n v="3287.73"/>
    <s v="Middle Income"/>
    <s v="Self-employed"/>
    <s v="With Loan"/>
    <s v="Low-Risk"/>
  </r>
  <r>
    <s v="T000064"/>
    <s v="C8869"/>
    <s v="AC84380340"/>
    <x v="62"/>
    <x v="18"/>
    <x v="3"/>
    <x v="3"/>
    <n v="1754.61"/>
    <x v="1"/>
    <n v="6482.15"/>
    <s v="Low"/>
    <x v="3"/>
    <n v="24"/>
    <x v="4"/>
    <s v="Female"/>
    <s v="Checking"/>
    <x v="61"/>
    <s v="GBP"/>
    <x v="1"/>
    <n v="2.76E-2"/>
    <n v="2.76"/>
    <s v="low"/>
    <n v="29244.77"/>
    <n v="807.15565200000003"/>
    <n v="13"/>
    <n v="421"/>
    <x v="0"/>
    <n v="0"/>
    <s v="Good"/>
    <n v="1"/>
    <n v="6144.38"/>
    <s v="High Income"/>
    <s v="Employed"/>
    <s v="With Loan"/>
    <s v="Low-Risk"/>
  </r>
  <r>
    <s v="T000065"/>
    <s v="C7439"/>
    <s v="AC66761259"/>
    <x v="63"/>
    <x v="27"/>
    <x v="6"/>
    <x v="1"/>
    <n v="6587.3"/>
    <x v="0"/>
    <n v="26304.799999999999"/>
    <s v="Medium"/>
    <x v="0"/>
    <n v="50"/>
    <x v="2"/>
    <s v="Female"/>
    <s v="Credit"/>
    <x v="62"/>
    <s v="USD"/>
    <x v="2"/>
    <n v="2.92E-2"/>
    <n v="2.92"/>
    <s v="low"/>
    <n v="16594.57"/>
    <n v="484.56144399999999"/>
    <n v="10"/>
    <n v="812"/>
    <x v="1"/>
    <n v="2"/>
    <s v="Good"/>
    <n v="5"/>
    <n v="2666.51"/>
    <s v="Low Income"/>
    <s v="Unemployed"/>
    <s v="With Loan"/>
    <s v="Low-Risk"/>
  </r>
  <r>
    <s v="T000066"/>
    <s v="C8892"/>
    <s v="AC13266402"/>
    <x v="64"/>
    <x v="8"/>
    <x v="10"/>
    <x v="3"/>
    <n v="9918.25"/>
    <x v="0"/>
    <n v="39539.599999999999"/>
    <s v="Medium"/>
    <x v="0"/>
    <n v="43"/>
    <x v="1"/>
    <s v="Male"/>
    <s v="Savings"/>
    <x v="63"/>
    <s v="EUR"/>
    <x v="2"/>
    <n v="4.5900000000000003E-2"/>
    <n v="4.59"/>
    <s v="high"/>
    <n v="21480.85"/>
    <n v="985.97101499999997"/>
    <n v="16"/>
    <n v="740"/>
    <x v="4"/>
    <n v="2"/>
    <s v="Good"/>
    <n v="4"/>
    <n v="7143.71"/>
    <s v="High Income"/>
    <s v="Employed"/>
    <s v="With Loan"/>
    <s v="Low-Risk"/>
  </r>
  <r>
    <s v="T000067"/>
    <s v="C7863"/>
    <s v="AC57044083"/>
    <x v="65"/>
    <x v="3"/>
    <x v="2"/>
    <x v="0"/>
    <n v="819.44"/>
    <x v="0"/>
    <n v="47184.03"/>
    <s v="Medium"/>
    <x v="4"/>
    <n v="62"/>
    <x v="3"/>
    <s v="Female"/>
    <s v="Savings"/>
    <x v="64"/>
    <s v="USD"/>
    <x v="1"/>
    <n v="2.58E-2"/>
    <n v="2.58"/>
    <s v="low"/>
    <n v="26681.654999999999"/>
    <n v="688.38669900000002"/>
    <n v="23"/>
    <n v="337"/>
    <x v="0"/>
    <n v="0"/>
    <s v="Good"/>
    <n v="1"/>
    <n v="4451.79"/>
    <s v="Middle Income"/>
    <s v="Unemployed"/>
    <s v="Without Loan"/>
    <s v="Low-Risk"/>
  </r>
  <r>
    <s v="T000068"/>
    <s v="C8916"/>
    <s v="AC34899065"/>
    <x v="66"/>
    <x v="22"/>
    <x v="2"/>
    <x v="1"/>
    <n v="863.07"/>
    <x v="0"/>
    <n v="37592.06"/>
    <s v="Medium"/>
    <x v="4"/>
    <n v="37"/>
    <x v="1"/>
    <s v="Male"/>
    <s v="Checking"/>
    <x v="65"/>
    <s v="EUR"/>
    <x v="2"/>
    <n v="4.8099999999999997E-2"/>
    <n v="4.8099999999999996"/>
    <s v="high"/>
    <n v="10900.45"/>
    <n v="524.311645"/>
    <n v="13"/>
    <n v="644"/>
    <x v="2"/>
    <n v="2"/>
    <s v="Good"/>
    <n v="2"/>
    <n v="9301.2199999999993"/>
    <s v="High Income"/>
    <s v="Self-employed"/>
    <s v="With Loan"/>
    <s v="Low-Risk"/>
  </r>
  <r>
    <s v="T000069"/>
    <s v="C9529"/>
    <s v="AC68436437"/>
    <x v="67"/>
    <x v="10"/>
    <x v="0"/>
    <x v="1"/>
    <n v="3469.76"/>
    <x v="0"/>
    <n v="36307.71"/>
    <s v="Medium"/>
    <x v="1"/>
    <n v="20"/>
    <x v="4"/>
    <s v="Male"/>
    <s v="Credit"/>
    <x v="66"/>
    <s v="USD"/>
    <x v="0"/>
    <n v="2.9399999999999999E-2"/>
    <n v="2.94"/>
    <s v="low"/>
    <n v="25491.39"/>
    <n v="749.446866"/>
    <n v="11"/>
    <n v="637"/>
    <x v="2"/>
    <n v="1"/>
    <s v="Default"/>
    <n v="2"/>
    <n v="11006.51"/>
    <s v="High Income"/>
    <s v="Self-employed"/>
    <s v="With Loan"/>
    <s v="Low-Risk"/>
  </r>
  <r>
    <s v="T000070"/>
    <s v="C1878"/>
    <s v="AC74910615"/>
    <x v="68"/>
    <x v="0"/>
    <x v="5"/>
    <x v="1"/>
    <n v="8677.23"/>
    <x v="0"/>
    <n v="41497.919999999998"/>
    <s v="Medium"/>
    <x v="2"/>
    <n v="69"/>
    <x v="3"/>
    <s v="Female"/>
    <s v="Savings"/>
    <x v="67"/>
    <s v="EUR"/>
    <x v="2"/>
    <n v="4.9000000000000002E-2"/>
    <n v="4.9000000000000002E-2"/>
    <s v="low"/>
    <n v="26681.654999999999"/>
    <n v="1307.4010949999999"/>
    <n v="13"/>
    <n v="483"/>
    <x v="0"/>
    <n v="2"/>
    <s v="Good"/>
    <n v="1"/>
    <n v="8917.56"/>
    <s v="High Income"/>
    <s v="Unemployed"/>
    <s v="Without Loan"/>
    <s v="Low-Risk"/>
  </r>
  <r>
    <s v="T000071"/>
    <s v="C5887"/>
    <s v="AC97994960"/>
    <x v="69"/>
    <x v="7"/>
    <x v="1"/>
    <x v="0"/>
    <n v="2233.75"/>
    <x v="0"/>
    <n v="22863.86"/>
    <s v="Medium"/>
    <x v="4"/>
    <n v="21"/>
    <x v="4"/>
    <s v="Male"/>
    <s v="Savings"/>
    <x v="68"/>
    <s v="EUR"/>
    <x v="1"/>
    <n v="1.03E-2"/>
    <n v="1.03"/>
    <s v="low"/>
    <n v="26681.654999999999"/>
    <n v="274.82104649999997"/>
    <n v="1"/>
    <n v="366"/>
    <x v="0"/>
    <n v="0"/>
    <s v="Good"/>
    <n v="1"/>
    <n v="7645.08"/>
    <s v="High Income"/>
    <s v="Unemployed"/>
    <s v="Without Loan"/>
    <s v="Low-Risk"/>
  </r>
  <r>
    <s v="T000072"/>
    <s v="C5859"/>
    <s v="AC24072989"/>
    <x v="70"/>
    <x v="20"/>
    <x v="7"/>
    <x v="2"/>
    <n v="3667.74"/>
    <x v="0"/>
    <n v="40486.379999999997"/>
    <s v="Medium"/>
    <x v="0"/>
    <n v="43"/>
    <x v="1"/>
    <s v="Male"/>
    <s v="Checking"/>
    <x v="69"/>
    <s v="GBP"/>
    <x v="0"/>
    <n v="4.5999999999999999E-2"/>
    <n v="4.5999999999999999E-2"/>
    <s v="low"/>
    <n v="26681.654999999999"/>
    <n v="1227.3561299999999"/>
    <n v="29"/>
    <n v="316"/>
    <x v="0"/>
    <n v="1"/>
    <s v="Default"/>
    <n v="1"/>
    <n v="7035.33"/>
    <s v="High Income"/>
    <s v="Employed"/>
    <s v="Without Loan"/>
    <s v="Low-Risk"/>
  </r>
  <r>
    <s v="T000073"/>
    <s v="C7331"/>
    <s v="AC90235127"/>
    <x v="71"/>
    <x v="13"/>
    <x v="8"/>
    <x v="0"/>
    <n v="778.2"/>
    <x v="1"/>
    <n v="1390.26"/>
    <s v="Low"/>
    <x v="4"/>
    <n v="28"/>
    <x v="0"/>
    <s v="Male"/>
    <s v="Credit"/>
    <x v="70"/>
    <s v="USD"/>
    <x v="2"/>
    <n v="4.7199999999999999E-2"/>
    <n v="4.72"/>
    <s v="high"/>
    <n v="28346.37"/>
    <n v="1337.948664"/>
    <n v="13"/>
    <n v="682"/>
    <x v="3"/>
    <n v="2"/>
    <s v="Good"/>
    <n v="3"/>
    <n v="12941.99"/>
    <s v="High Income"/>
    <s v="Unemployed"/>
    <s v="With Loan"/>
    <s v="Low-Risk"/>
  </r>
  <r>
    <s v="T000074"/>
    <s v="C9571"/>
    <s v="AC81370810"/>
    <x v="72"/>
    <x v="10"/>
    <x v="6"/>
    <x v="3"/>
    <n v="7655.24"/>
    <x v="0"/>
    <n v="46303.49"/>
    <s v="Medium"/>
    <x v="3"/>
    <n v="19"/>
    <x v="4"/>
    <s v="Male"/>
    <s v="Savings"/>
    <x v="71"/>
    <s v="GBP"/>
    <x v="0"/>
    <n v="4.8399999999999999E-2"/>
    <n v="4.84"/>
    <s v="high"/>
    <n v="6514.26"/>
    <n v="315.29018400000001"/>
    <n v="13"/>
    <n v="667"/>
    <x v="2"/>
    <n v="1"/>
    <s v="Default"/>
    <n v="2"/>
    <n v="4851.78"/>
    <s v="Middle Income"/>
    <s v="Self-employed"/>
    <s v="With Loan"/>
    <s v="Low-Risk"/>
  </r>
  <r>
    <s v="T000075"/>
    <s v="C9684"/>
    <s v="AC93976173"/>
    <x v="73"/>
    <x v="26"/>
    <x v="6"/>
    <x v="3"/>
    <n v="4142.2299999999996"/>
    <x v="0"/>
    <n v="22722.02"/>
    <s v="Medium"/>
    <x v="2"/>
    <n v="31"/>
    <x v="0"/>
    <s v="Male"/>
    <s v="Checking"/>
    <x v="72"/>
    <s v="GBP"/>
    <x v="1"/>
    <n v="1.0500000000000001E-2"/>
    <n v="1.05"/>
    <s v="low"/>
    <n v="26681.654999999999"/>
    <n v="280.1573775"/>
    <n v="13"/>
    <n v="615"/>
    <x v="2"/>
    <n v="0"/>
    <s v="Good"/>
    <n v="2"/>
    <n v="11544.84"/>
    <s v="High Income"/>
    <s v="Employed"/>
    <s v="Without Loan"/>
    <s v="Low-Risk"/>
  </r>
  <r>
    <s v="T000076"/>
    <s v="C8208"/>
    <s v="AC19944790"/>
    <x v="74"/>
    <x v="21"/>
    <x v="5"/>
    <x v="0"/>
    <n v="7616.56"/>
    <x v="0"/>
    <n v="28115.63"/>
    <s v="Medium"/>
    <x v="1"/>
    <n v="61"/>
    <x v="3"/>
    <s v="Male"/>
    <s v="Savings"/>
    <x v="73"/>
    <s v="EUR"/>
    <x v="2"/>
    <n v="1.6899999999999998E-2"/>
    <n v="1.69"/>
    <s v="low"/>
    <n v="23207.26"/>
    <n v="392.20269399999995"/>
    <n v="13"/>
    <n v="796"/>
    <x v="4"/>
    <n v="2"/>
    <s v="Good"/>
    <n v="4"/>
    <n v="11847.27"/>
    <s v="High Income"/>
    <s v="Unemployed"/>
    <s v="With Loan"/>
    <s v="Low-Risk"/>
  </r>
  <r>
    <s v="T000077"/>
    <s v="C6276"/>
    <s v="AC89908991"/>
    <x v="40"/>
    <x v="12"/>
    <x v="7"/>
    <x v="0"/>
    <n v="9045.7199999999993"/>
    <x v="1"/>
    <n v="13489.23"/>
    <s v="Medium"/>
    <x v="3"/>
    <n v="47"/>
    <x v="2"/>
    <s v="Female"/>
    <s v="Savings"/>
    <x v="47"/>
    <s v="USD"/>
    <x v="0"/>
    <n v="3.6200000000000003E-2"/>
    <n v="3.62"/>
    <s v="low"/>
    <n v="26681.654999999999"/>
    <n v="965.87591100000009"/>
    <n v="28"/>
    <n v="644"/>
    <x v="2"/>
    <n v="1"/>
    <s v="Default"/>
    <n v="2"/>
    <n v="7449.6"/>
    <s v="High Income"/>
    <s v="Unemployed"/>
    <s v="Without Loan"/>
    <s v="Low-Risk"/>
  </r>
  <r>
    <s v="T000078"/>
    <s v="C3062"/>
    <s v="AC91447632"/>
    <x v="75"/>
    <x v="26"/>
    <x v="7"/>
    <x v="1"/>
    <n v="2404.36"/>
    <x v="0"/>
    <n v="37384.01"/>
    <s v="Medium"/>
    <x v="3"/>
    <n v="66"/>
    <x v="3"/>
    <s v="Male"/>
    <s v="Savings"/>
    <x v="74"/>
    <s v="EUR"/>
    <x v="0"/>
    <n v="1.0999999999999999E-2"/>
    <n v="1.0999999999999999E-2"/>
    <s v="low"/>
    <n v="44315.27"/>
    <n v="487.46796999999992"/>
    <n v="13"/>
    <n v="772"/>
    <x v="4"/>
    <n v="1"/>
    <s v="Default"/>
    <n v="4"/>
    <n v="5864.91"/>
    <s v="High Income"/>
    <s v="Employed"/>
    <s v="With Loan"/>
    <s v="Low-Risk"/>
  </r>
  <r>
    <s v="T000079"/>
    <s v="C1064"/>
    <s v="AC78841329"/>
    <x v="76"/>
    <x v="6"/>
    <x v="6"/>
    <x v="0"/>
    <n v="8093.22"/>
    <x v="1"/>
    <n v="4755.1499999999996"/>
    <s v="Low"/>
    <x v="2"/>
    <n v="29"/>
    <x v="0"/>
    <s v="Male"/>
    <s v="Checking"/>
    <x v="75"/>
    <s v="EUR"/>
    <x v="2"/>
    <n v="1.2500000000000001E-2"/>
    <n v="1.25"/>
    <s v="low"/>
    <n v="26681.654999999999"/>
    <n v="333.52068750000001"/>
    <n v="13"/>
    <n v="414"/>
    <x v="0"/>
    <n v="2"/>
    <s v="Good"/>
    <n v="1"/>
    <n v="8117.04"/>
    <s v="High Income"/>
    <s v="Unemployed"/>
    <s v="Without Loan"/>
    <s v="Low-Risk"/>
  </r>
  <r>
    <s v="T000080"/>
    <s v="C9006"/>
    <s v="AC63505232"/>
    <x v="77"/>
    <x v="25"/>
    <x v="7"/>
    <x v="1"/>
    <n v="685.03"/>
    <x v="0"/>
    <n v="43759.15"/>
    <s v="Medium"/>
    <x v="1"/>
    <n v="43"/>
    <x v="1"/>
    <s v="Male"/>
    <s v="Credit"/>
    <x v="76"/>
    <s v="EUR"/>
    <x v="0"/>
    <n v="1.8800000000000001E-2"/>
    <n v="1.88"/>
    <s v="low"/>
    <n v="5953.65"/>
    <n v="111.92862"/>
    <n v="13"/>
    <n v="399"/>
    <x v="0"/>
    <n v="1"/>
    <s v="Default"/>
    <n v="1"/>
    <n v="3211.78"/>
    <s v="Middle Income"/>
    <s v="Self-employed"/>
    <s v="With Loan"/>
    <s v="Low-Risk"/>
  </r>
  <r>
    <s v="T000081"/>
    <s v="C3568"/>
    <s v="AC90218637"/>
    <x v="78"/>
    <x v="5"/>
    <x v="4"/>
    <x v="3"/>
    <n v="8998.59"/>
    <x v="0"/>
    <n v="41577.72"/>
    <s v="Medium"/>
    <x v="0"/>
    <n v="61"/>
    <x v="3"/>
    <s v="Male"/>
    <s v="Checking"/>
    <x v="77"/>
    <s v="USD"/>
    <x v="0"/>
    <n v="3.0499999999999999E-2"/>
    <n v="3.05"/>
    <s v="low"/>
    <n v="26681.654999999999"/>
    <n v="813.79047749999995"/>
    <n v="1"/>
    <n v="737"/>
    <x v="3"/>
    <n v="1"/>
    <s v="Default"/>
    <n v="3"/>
    <n v="2597.09"/>
    <s v="Low Income"/>
    <s v="Employed"/>
    <s v="Without Loan"/>
    <s v="Low-Risk"/>
  </r>
  <r>
    <s v="T000082"/>
    <s v="C6463"/>
    <s v="AC54599847"/>
    <x v="79"/>
    <x v="28"/>
    <x v="5"/>
    <x v="1"/>
    <n v="6542.61"/>
    <x v="1"/>
    <n v="11586.95"/>
    <s v="Medium"/>
    <x v="1"/>
    <n v="50"/>
    <x v="2"/>
    <s v="Female"/>
    <s v="Credit"/>
    <x v="78"/>
    <s v="USD"/>
    <x v="1"/>
    <n v="3.1800000000000002E-2"/>
    <n v="3.18"/>
    <s v="low"/>
    <n v="26402.93"/>
    <n v="839.61317400000007"/>
    <n v="8"/>
    <n v="644"/>
    <x v="2"/>
    <n v="0"/>
    <s v="Good"/>
    <n v="2"/>
    <n v="3450.84"/>
    <s v="Middle Income"/>
    <s v="Unemployed"/>
    <s v="With Loan"/>
    <s v="Low-Risk"/>
  </r>
  <r>
    <s v="T000083"/>
    <s v="C3027"/>
    <s v="AC58730049"/>
    <x v="80"/>
    <x v="0"/>
    <x v="3"/>
    <x v="0"/>
    <n v="8754.84"/>
    <x v="0"/>
    <n v="40656.9"/>
    <s v="Medium"/>
    <x v="4"/>
    <n v="30"/>
    <x v="0"/>
    <s v="Female"/>
    <s v="Savings"/>
    <x v="79"/>
    <s v="EUR"/>
    <x v="1"/>
    <n v="1.14E-2"/>
    <n v="1.1399999999999999"/>
    <s v="low"/>
    <n v="26681.654999999999"/>
    <n v="304.17086699999999"/>
    <n v="13"/>
    <n v="648"/>
    <x v="2"/>
    <n v="0"/>
    <s v="Good"/>
    <n v="2"/>
    <n v="4432.8900000000003"/>
    <s v="Middle Income"/>
    <s v="Self-employed"/>
    <s v="Without Loan"/>
    <s v="Low-Risk"/>
  </r>
  <r>
    <s v="T000084"/>
    <s v="C3695"/>
    <s v="AC46413676"/>
    <x v="81"/>
    <x v="29"/>
    <x v="10"/>
    <x v="3"/>
    <n v="101.87"/>
    <x v="0"/>
    <n v="39531.53"/>
    <s v="Medium"/>
    <x v="3"/>
    <n v="31"/>
    <x v="0"/>
    <s v="Male"/>
    <s v="Credit"/>
    <x v="80"/>
    <s v="USD"/>
    <x v="1"/>
    <n v="1.6799999999999999E-2"/>
    <n v="1.68"/>
    <s v="low"/>
    <n v="43716.66"/>
    <n v="734.439888"/>
    <n v="13"/>
    <n v="438"/>
    <x v="0"/>
    <n v="0"/>
    <s v="Good"/>
    <n v="1"/>
    <n v="8554.2999999999993"/>
    <s v="High Income"/>
    <s v="Unemployed"/>
    <s v="With Loan"/>
    <s v="High-Risk"/>
  </r>
  <r>
    <s v="T000085"/>
    <s v="C6258"/>
    <s v="AC43877350"/>
    <x v="82"/>
    <x v="16"/>
    <x v="4"/>
    <x v="2"/>
    <n v="1773.9"/>
    <x v="0"/>
    <n v="31978.61"/>
    <s v="Medium"/>
    <x v="4"/>
    <n v="41"/>
    <x v="1"/>
    <s v="Male"/>
    <s v="Savings"/>
    <x v="81"/>
    <s v="EUR"/>
    <x v="1"/>
    <n v="0.03"/>
    <n v="0.03"/>
    <s v="low"/>
    <n v="29396.19"/>
    <n v="881.88569999999993"/>
    <n v="13"/>
    <n v="623"/>
    <x v="2"/>
    <n v="0"/>
    <s v="Good"/>
    <n v="2"/>
    <n v="13038.78"/>
    <s v="High Income"/>
    <s v="Employed"/>
    <s v="With Loan"/>
    <s v="Low-Risk"/>
  </r>
  <r>
    <s v="T000086"/>
    <s v="C6618"/>
    <s v="AC71658869"/>
    <x v="83"/>
    <x v="14"/>
    <x v="11"/>
    <x v="1"/>
    <n v="3958.62"/>
    <x v="1"/>
    <n v="19302.490000000002"/>
    <s v="Medium"/>
    <x v="0"/>
    <n v="51"/>
    <x v="2"/>
    <s v="Male"/>
    <s v="Savings"/>
    <x v="82"/>
    <s v="USD"/>
    <x v="1"/>
    <n v="3.3799999999999997E-2"/>
    <n v="3.38"/>
    <s v="low"/>
    <n v="36033.61"/>
    <n v="1217.9360179999999"/>
    <n v="13"/>
    <n v="601"/>
    <x v="2"/>
    <n v="0"/>
    <s v="Good"/>
    <n v="2"/>
    <n v="5063.3500000000004"/>
    <s v="High Income"/>
    <s v="Unemployed"/>
    <s v="With Loan"/>
    <s v="Low-Risk"/>
  </r>
  <r>
    <s v="T000087"/>
    <s v="C7736"/>
    <s v="AC96131989"/>
    <x v="84"/>
    <x v="22"/>
    <x v="9"/>
    <x v="3"/>
    <n v="3857.08"/>
    <x v="1"/>
    <n v="14303.44"/>
    <s v="Medium"/>
    <x v="4"/>
    <n v="61"/>
    <x v="3"/>
    <s v="Female"/>
    <s v="Checking"/>
    <x v="83"/>
    <s v="USD"/>
    <x v="1"/>
    <n v="1.5900000000000001E-2"/>
    <n v="1.59"/>
    <s v="low"/>
    <n v="26681.654999999999"/>
    <n v="424.2383145"/>
    <n v="14"/>
    <n v="593"/>
    <x v="2"/>
    <n v="0"/>
    <s v="Good"/>
    <n v="2"/>
    <n v="14157.11"/>
    <s v="High Income"/>
    <s v="Unemployed"/>
    <s v="Without Loan"/>
    <s v="Low-Risk"/>
  </r>
  <r>
    <s v="T000088"/>
    <s v="C1391"/>
    <s v="AC76374125"/>
    <x v="85"/>
    <x v="5"/>
    <x v="2"/>
    <x v="1"/>
    <n v="2344.63"/>
    <x v="1"/>
    <n v="12357.4"/>
    <s v="Medium"/>
    <x v="1"/>
    <n v="43"/>
    <x v="1"/>
    <s v="Female"/>
    <s v="Savings"/>
    <x v="84"/>
    <s v="GBP"/>
    <x v="2"/>
    <n v="2.5999999999999999E-2"/>
    <n v="2.5999999999999999E-2"/>
    <s v="low"/>
    <n v="24784.51"/>
    <n v="644.39725999999996"/>
    <n v="13"/>
    <n v="828"/>
    <x v="1"/>
    <n v="2"/>
    <s v="Good"/>
    <n v="5"/>
    <n v="14413.8"/>
    <s v="High Income"/>
    <s v="Unemployed"/>
    <s v="With Loan"/>
    <s v="Low-Risk"/>
  </r>
  <r>
    <s v="T000089"/>
    <s v="C6892"/>
    <s v="AC77225603"/>
    <x v="86"/>
    <x v="1"/>
    <x v="10"/>
    <x v="3"/>
    <n v="3877.96"/>
    <x v="1"/>
    <n v="16611.84"/>
    <s v="Medium"/>
    <x v="4"/>
    <n v="38"/>
    <x v="1"/>
    <s v="Female"/>
    <s v="Checking"/>
    <x v="85"/>
    <s v="EUR"/>
    <x v="1"/>
    <n v="4.6199999999999998E-2"/>
    <n v="4.62"/>
    <s v="high"/>
    <n v="25082.9"/>
    <n v="1158.82998"/>
    <n v="10"/>
    <n v="591"/>
    <x v="2"/>
    <n v="0"/>
    <s v="Good"/>
    <n v="2"/>
    <n v="14465.76"/>
    <s v="High Income"/>
    <s v="Self-employed"/>
    <s v="With Loan"/>
    <s v="Low-Risk"/>
  </r>
  <r>
    <s v="T000090"/>
    <s v="C4561"/>
    <s v="AC41251097"/>
    <x v="87"/>
    <x v="7"/>
    <x v="1"/>
    <x v="3"/>
    <n v="1375.6"/>
    <x v="0"/>
    <n v="45274.36"/>
    <s v="Medium"/>
    <x v="0"/>
    <n v="45"/>
    <x v="1"/>
    <s v="Female"/>
    <s v="Credit"/>
    <x v="86"/>
    <s v="GBP"/>
    <x v="0"/>
    <n v="0.05"/>
    <n v="0.05"/>
    <s v="low"/>
    <n v="23491.47"/>
    <n v="1174.5735000000002"/>
    <n v="13"/>
    <n v="373"/>
    <x v="0"/>
    <n v="1"/>
    <s v="Default"/>
    <n v="1"/>
    <n v="12888.32"/>
    <s v="High Income"/>
    <s v="Self-employed"/>
    <s v="With Loan"/>
    <s v="Low-Risk"/>
  </r>
  <r>
    <s v="T000091"/>
    <s v="C7184"/>
    <s v="AC76268268"/>
    <x v="88"/>
    <x v="30"/>
    <x v="3"/>
    <x v="1"/>
    <n v="4186.34"/>
    <x v="1"/>
    <n v="4804.3999999999996"/>
    <s v="Low"/>
    <x v="0"/>
    <n v="65"/>
    <x v="3"/>
    <s v="Male"/>
    <s v="Credit"/>
    <x v="78"/>
    <s v="GBP"/>
    <x v="2"/>
    <n v="4.9500000000000002E-2"/>
    <n v="4.95"/>
    <s v="high"/>
    <n v="26681.654999999999"/>
    <n v="1320.7419225000001"/>
    <n v="13"/>
    <n v="783"/>
    <x v="4"/>
    <n v="2"/>
    <s v="Good"/>
    <n v="4"/>
    <n v="6729.73"/>
    <s v="High Income"/>
    <s v="Unemployed"/>
    <s v="Without Loan"/>
    <s v="Low-Risk"/>
  </r>
  <r>
    <s v="T000092"/>
    <s v="C4099"/>
    <s v="AC25985249"/>
    <x v="89"/>
    <x v="16"/>
    <x v="4"/>
    <x v="2"/>
    <n v="8043.31"/>
    <x v="0"/>
    <n v="41614.69"/>
    <s v="Medium"/>
    <x v="0"/>
    <n v="53"/>
    <x v="2"/>
    <s v="Female"/>
    <s v="Savings"/>
    <x v="87"/>
    <s v="EUR"/>
    <x v="0"/>
    <n v="4.53E-2"/>
    <n v="4.53"/>
    <s v="high"/>
    <n v="16269.95"/>
    <n v="737.02873499999998"/>
    <n v="7"/>
    <n v="315"/>
    <x v="0"/>
    <n v="1"/>
    <s v="Default"/>
    <n v="1"/>
    <n v="2944.89"/>
    <s v="Low Income"/>
    <s v="Unemployed"/>
    <s v="With Loan"/>
    <s v="Low-Risk"/>
  </r>
  <r>
    <s v="T000093"/>
    <s v="C7278"/>
    <s v="AC88987338"/>
    <x v="77"/>
    <x v="25"/>
    <x v="7"/>
    <x v="3"/>
    <n v="4842.79"/>
    <x v="1"/>
    <n v="18095.61"/>
    <s v="Medium"/>
    <x v="1"/>
    <n v="57"/>
    <x v="2"/>
    <s v="Female"/>
    <s v="Checking"/>
    <x v="88"/>
    <s v="EUR"/>
    <x v="1"/>
    <n v="2.58E-2"/>
    <n v="2.58"/>
    <s v="low"/>
    <n v="26681.654999999999"/>
    <n v="688.38669900000002"/>
    <n v="13"/>
    <n v="825"/>
    <x v="1"/>
    <n v="0"/>
    <s v="Good"/>
    <n v="5"/>
    <n v="9394.64"/>
    <s v="High Income"/>
    <s v="Employed"/>
    <s v="Without Loan"/>
    <s v="Low-Risk"/>
  </r>
  <r>
    <s v="T000094"/>
    <s v="C9392"/>
    <s v="AC53309893"/>
    <x v="90"/>
    <x v="15"/>
    <x v="5"/>
    <x v="3"/>
    <n v="278.2"/>
    <x v="0"/>
    <n v="26558.37"/>
    <s v="Medium"/>
    <x v="0"/>
    <n v="19"/>
    <x v="4"/>
    <s v="Male"/>
    <s v="Savings"/>
    <x v="89"/>
    <s v="USD"/>
    <x v="1"/>
    <n v="3.7499999999999999E-2"/>
    <n v="3.75"/>
    <s v="low"/>
    <n v="19988.849999999999"/>
    <n v="749.58187499999997"/>
    <n v="13"/>
    <n v="635"/>
    <x v="2"/>
    <n v="0"/>
    <s v="Good"/>
    <n v="2"/>
    <n v="9262.86"/>
    <s v="High Income"/>
    <s v="Unemployed"/>
    <s v="With Loan"/>
    <s v="Low-Risk"/>
  </r>
  <r>
    <s v="T000095"/>
    <s v="C4104"/>
    <s v="AC44569361"/>
    <x v="91"/>
    <x v="1"/>
    <x v="5"/>
    <x v="3"/>
    <n v="4272.3"/>
    <x v="0"/>
    <n v="39929.800000000003"/>
    <s v="Medium"/>
    <x v="3"/>
    <n v="59"/>
    <x v="2"/>
    <s v="Male"/>
    <s v="Checking"/>
    <x v="90"/>
    <s v="EUR"/>
    <x v="0"/>
    <n v="2.6700000000000002E-2"/>
    <n v="2.67"/>
    <s v="low"/>
    <n v="26681.654999999999"/>
    <n v="712.40018850000001"/>
    <n v="13"/>
    <n v="815"/>
    <x v="1"/>
    <n v="1"/>
    <s v="Default"/>
    <n v="5"/>
    <n v="13049.68"/>
    <s v="High Income"/>
    <s v="Employed"/>
    <s v="Without Loan"/>
    <s v="Low-Risk"/>
  </r>
  <r>
    <s v="T000096"/>
    <s v="C8215"/>
    <s v="AC20971177"/>
    <x v="92"/>
    <x v="21"/>
    <x v="2"/>
    <x v="2"/>
    <n v="369.03"/>
    <x v="0"/>
    <n v="44334.45"/>
    <s v="Medium"/>
    <x v="0"/>
    <n v="26"/>
    <x v="0"/>
    <s v="Female"/>
    <s v="Checking"/>
    <x v="91"/>
    <s v="GBP"/>
    <x v="0"/>
    <n v="3.5900000000000001E-2"/>
    <n v="3.59"/>
    <s v="low"/>
    <n v="26681.654999999999"/>
    <n v="957.87141450000001"/>
    <n v="13"/>
    <n v="426"/>
    <x v="0"/>
    <n v="1"/>
    <s v="Default"/>
    <n v="1"/>
    <n v="14947.88"/>
    <s v="High Income"/>
    <s v="Self-employed"/>
    <s v="Without Loan"/>
    <s v="Low-Risk"/>
  </r>
  <r>
    <s v="T000097"/>
    <s v="C3454"/>
    <s v="AC70200291"/>
    <x v="93"/>
    <x v="26"/>
    <x v="11"/>
    <x v="2"/>
    <n v="9665.81"/>
    <x v="1"/>
    <n v="17894.29"/>
    <s v="Medium"/>
    <x v="4"/>
    <n v="40"/>
    <x v="1"/>
    <s v="Female"/>
    <s v="Checking"/>
    <x v="92"/>
    <s v="GBP"/>
    <x v="0"/>
    <n v="2.24E-2"/>
    <n v="2.2400000000000002"/>
    <s v="low"/>
    <n v="5604.03"/>
    <n v="125.530272"/>
    <n v="18"/>
    <n v="817"/>
    <x v="1"/>
    <n v="1"/>
    <s v="Default"/>
    <n v="5"/>
    <n v="8606.0400000000009"/>
    <s v="High Income"/>
    <s v="Unemployed"/>
    <s v="With Loan"/>
    <s v="Low-Risk"/>
  </r>
  <r>
    <s v="T000098"/>
    <s v="C9996"/>
    <s v="AC30080673"/>
    <x v="15"/>
    <x v="11"/>
    <x v="2"/>
    <x v="0"/>
    <n v="1361.79"/>
    <x v="0"/>
    <n v="23630.33"/>
    <s v="Medium"/>
    <x v="4"/>
    <n v="32"/>
    <x v="0"/>
    <s v="Female"/>
    <s v="Credit"/>
    <x v="93"/>
    <s v="EUR"/>
    <x v="2"/>
    <n v="3.4200000000000001E-2"/>
    <n v="3.42"/>
    <s v="low"/>
    <n v="26681.654999999999"/>
    <n v="912.51260100000002"/>
    <n v="13"/>
    <n v="428"/>
    <x v="0"/>
    <n v="2"/>
    <s v="Good"/>
    <n v="1"/>
    <n v="6487.65"/>
    <s v="High Income"/>
    <s v="Employed"/>
    <s v="Without Loan"/>
    <s v="Low-Risk"/>
  </r>
  <r>
    <s v="T000099"/>
    <s v="C3731"/>
    <s v="AC84052985"/>
    <x v="94"/>
    <x v="7"/>
    <x v="0"/>
    <x v="1"/>
    <n v="7106.11"/>
    <x v="0"/>
    <n v="21311.29"/>
    <s v="Medium"/>
    <x v="4"/>
    <n v="30"/>
    <x v="0"/>
    <s v="Female"/>
    <s v="Checking"/>
    <x v="94"/>
    <s v="GBP"/>
    <x v="1"/>
    <n v="3.1E-2"/>
    <n v="3.1E-2"/>
    <s v="low"/>
    <n v="26681.654999999999"/>
    <n v="827.131305"/>
    <n v="13"/>
    <n v="810"/>
    <x v="1"/>
    <n v="0"/>
    <s v="Good"/>
    <n v="5"/>
    <n v="4416.72"/>
    <s v="Middle Income"/>
    <s v="Self-employed"/>
    <s v="Without Loan"/>
    <s v="Low-Risk"/>
  </r>
  <r>
    <s v="T000100"/>
    <s v="C9154"/>
    <s v="AC16238795"/>
    <x v="84"/>
    <x v="22"/>
    <x v="9"/>
    <x v="2"/>
    <n v="9730.49"/>
    <x v="1"/>
    <n v="1649.3"/>
    <s v="Low"/>
    <x v="1"/>
    <n v="40"/>
    <x v="1"/>
    <s v="Male"/>
    <s v="Credit"/>
    <x v="95"/>
    <s v="USD"/>
    <x v="0"/>
    <n v="1.0999999999999999E-2"/>
    <n v="1.0999999999999999E-2"/>
    <s v="low"/>
    <n v="5974.16"/>
    <n v="65.715759999999989"/>
    <n v="10"/>
    <n v="722"/>
    <x v="3"/>
    <n v="1"/>
    <s v="Default"/>
    <n v="3"/>
    <n v="2062.4"/>
    <s v="Low Income"/>
    <s v="Employed"/>
    <s v="With Loan"/>
    <s v="Low-Risk"/>
  </r>
  <r>
    <s v="T000101"/>
    <s v="C6056"/>
    <s v="AC91266262"/>
    <x v="95"/>
    <x v="23"/>
    <x v="3"/>
    <x v="1"/>
    <n v="8277.7900000000009"/>
    <x v="1"/>
    <n v="15501.2"/>
    <s v="Medium"/>
    <x v="4"/>
    <n v="34"/>
    <x v="0"/>
    <s v="Male"/>
    <s v="Checking"/>
    <x v="47"/>
    <s v="GBP"/>
    <x v="1"/>
    <n v="4.1599999999999998E-2"/>
    <n v="4.16"/>
    <s v="high"/>
    <n v="26681.654999999999"/>
    <n v="1109.9568479999998"/>
    <n v="13"/>
    <n v="684"/>
    <x v="3"/>
    <n v="0"/>
    <s v="Good"/>
    <n v="3"/>
    <n v="8618.48"/>
    <s v="High Income"/>
    <s v="Self-employed"/>
    <s v="Without Loan"/>
    <s v="Low-Risk"/>
  </r>
  <r>
    <s v="T000102"/>
    <s v="C9110"/>
    <s v="AC65098996"/>
    <x v="96"/>
    <x v="13"/>
    <x v="4"/>
    <x v="0"/>
    <n v="7023.22"/>
    <x v="0"/>
    <n v="23500.27"/>
    <s v="Medium"/>
    <x v="1"/>
    <n v="65"/>
    <x v="3"/>
    <s v="Female"/>
    <s v="Credit"/>
    <x v="96"/>
    <s v="USD"/>
    <x v="0"/>
    <n v="1.0500000000000001E-2"/>
    <n v="1.05"/>
    <s v="low"/>
    <n v="26681.654999999999"/>
    <n v="280.1573775"/>
    <n v="14"/>
    <n v="531"/>
    <x v="0"/>
    <n v="1"/>
    <s v="Default"/>
    <n v="1"/>
    <n v="9221.74"/>
    <s v="High Income"/>
    <s v="Unemployed"/>
    <s v="Without Loan"/>
    <s v="Low-Risk"/>
  </r>
  <r>
    <s v="T000103"/>
    <s v="C4840"/>
    <s v="AC57226729"/>
    <x v="97"/>
    <x v="20"/>
    <x v="3"/>
    <x v="1"/>
    <n v="8410.66"/>
    <x v="0"/>
    <n v="21143.59"/>
    <s v="Medium"/>
    <x v="1"/>
    <n v="19"/>
    <x v="4"/>
    <s v="Female"/>
    <s v="Credit"/>
    <x v="97"/>
    <s v="GBP"/>
    <x v="1"/>
    <n v="2.1700000000000001E-2"/>
    <n v="2.17"/>
    <s v="low"/>
    <n v="26681.654999999999"/>
    <n v="578.99191350000001"/>
    <n v="13"/>
    <n v="494"/>
    <x v="0"/>
    <n v="0"/>
    <s v="Good"/>
    <n v="1"/>
    <n v="12724.2"/>
    <s v="High Income"/>
    <s v="Employed"/>
    <s v="Without Loan"/>
    <s v="Low-Risk"/>
  </r>
  <r>
    <s v="T000104"/>
    <s v="C2028"/>
    <s v="AC74504149"/>
    <x v="98"/>
    <x v="26"/>
    <x v="9"/>
    <x v="2"/>
    <n v="9819.81"/>
    <x v="0"/>
    <n v="36374.53"/>
    <s v="Medium"/>
    <x v="0"/>
    <n v="37"/>
    <x v="1"/>
    <s v="Female"/>
    <s v="Credit"/>
    <x v="98"/>
    <s v="USD"/>
    <x v="2"/>
    <n v="1.0200000000000001E-2"/>
    <n v="1.02"/>
    <s v="low"/>
    <n v="26681.654999999999"/>
    <n v="272.15288099999998"/>
    <n v="13"/>
    <n v="364"/>
    <x v="0"/>
    <n v="2"/>
    <s v="Good"/>
    <n v="1"/>
    <n v="8559.5"/>
    <s v="High Income"/>
    <s v="Unemployed"/>
    <s v="Without Loan"/>
    <s v="Low-Risk"/>
  </r>
  <r>
    <s v="T000105"/>
    <s v="C8385"/>
    <s v="AC61048404"/>
    <x v="99"/>
    <x v="21"/>
    <x v="11"/>
    <x v="1"/>
    <n v="6251.31"/>
    <x v="1"/>
    <n v="19855.38"/>
    <s v="Medium"/>
    <x v="3"/>
    <n v="37"/>
    <x v="1"/>
    <s v="Female"/>
    <s v="Savings"/>
    <x v="99"/>
    <s v="USD"/>
    <x v="1"/>
    <n v="2.5000000000000001E-2"/>
    <n v="2.5000000000000001E-2"/>
    <s v="low"/>
    <n v="38463.29"/>
    <n v="961.58225000000004"/>
    <n v="13"/>
    <n v="576"/>
    <x v="0"/>
    <n v="0"/>
    <s v="Good"/>
    <n v="1"/>
    <n v="13914.09"/>
    <s v="High Income"/>
    <s v="Employed"/>
    <s v="With Loan"/>
    <s v="High-Risk"/>
  </r>
  <r>
    <s v="T000106"/>
    <s v="C1502"/>
    <s v="AC68771482"/>
    <x v="100"/>
    <x v="9"/>
    <x v="10"/>
    <x v="2"/>
    <n v="5635.93"/>
    <x v="0"/>
    <n v="24979.45"/>
    <s v="Medium"/>
    <x v="0"/>
    <n v="63"/>
    <x v="3"/>
    <s v="Female"/>
    <s v="Checking"/>
    <x v="100"/>
    <s v="EUR"/>
    <x v="0"/>
    <n v="1.2500000000000001E-2"/>
    <n v="1.25"/>
    <s v="low"/>
    <n v="26681.654999999999"/>
    <n v="333.52068750000001"/>
    <n v="2"/>
    <n v="523"/>
    <x v="0"/>
    <n v="1"/>
    <s v="Default"/>
    <n v="1"/>
    <n v="10165.09"/>
    <s v="High Income"/>
    <s v="Self-employed"/>
    <s v="Without Loan"/>
    <s v="Low-Risk"/>
  </r>
  <r>
    <s v="T000107"/>
    <s v="C7910"/>
    <s v="AC80860062"/>
    <x v="101"/>
    <x v="30"/>
    <x v="7"/>
    <x v="1"/>
    <n v="6319.56"/>
    <x v="0"/>
    <n v="22050.82"/>
    <s v="Medium"/>
    <x v="0"/>
    <n v="20"/>
    <x v="4"/>
    <s v="Male"/>
    <s v="Savings"/>
    <x v="101"/>
    <s v="USD"/>
    <x v="1"/>
    <n v="4.65E-2"/>
    <n v="4.6500000000000004"/>
    <s v="high"/>
    <n v="26681.654999999999"/>
    <n v="1240.6969574999998"/>
    <n v="29"/>
    <n v="577"/>
    <x v="0"/>
    <n v="0"/>
    <s v="Good"/>
    <n v="1"/>
    <n v="12924.37"/>
    <s v="High Income"/>
    <s v="Employed"/>
    <s v="Without Loan"/>
    <s v="Low-Risk"/>
  </r>
  <r>
    <s v="T000108"/>
    <s v="C7938"/>
    <s v="AC67701082"/>
    <x v="102"/>
    <x v="9"/>
    <x v="5"/>
    <x v="2"/>
    <n v="5373.49"/>
    <x v="0"/>
    <n v="37290.68"/>
    <s v="Medium"/>
    <x v="1"/>
    <n v="29"/>
    <x v="0"/>
    <s v="Male"/>
    <s v="Checking"/>
    <x v="102"/>
    <s v="EUR"/>
    <x v="2"/>
    <n v="2.6599999999999999E-2"/>
    <n v="2.66"/>
    <s v="low"/>
    <n v="16017.78"/>
    <n v="426.072948"/>
    <n v="13"/>
    <n v="665"/>
    <x v="2"/>
    <n v="2"/>
    <s v="Good"/>
    <n v="2"/>
    <n v="3927.92"/>
    <s v="Middle Income"/>
    <s v="Employed"/>
    <s v="With Loan"/>
    <s v="Low-Risk"/>
  </r>
  <r>
    <s v="T000109"/>
    <s v="C5488"/>
    <s v="AC25732903"/>
    <x v="66"/>
    <x v="22"/>
    <x v="2"/>
    <x v="2"/>
    <n v="6387.38"/>
    <x v="0"/>
    <n v="43285.65"/>
    <s v="Medium"/>
    <x v="1"/>
    <n v="57"/>
    <x v="2"/>
    <s v="Male"/>
    <s v="Checking"/>
    <x v="103"/>
    <s v="GBP"/>
    <x v="2"/>
    <n v="2.8400000000000002E-2"/>
    <n v="2.84"/>
    <s v="low"/>
    <n v="37244.910000000003"/>
    <n v="1057.7554440000001"/>
    <n v="21"/>
    <n v="815"/>
    <x v="1"/>
    <n v="2"/>
    <s v="Good"/>
    <n v="5"/>
    <n v="13119.37"/>
    <s v="High Income"/>
    <s v="Unemployed"/>
    <s v="With Loan"/>
    <s v="Low-Risk"/>
  </r>
  <r>
    <s v="T000110"/>
    <s v="C1206"/>
    <s v="AC13138145"/>
    <x v="103"/>
    <x v="6"/>
    <x v="2"/>
    <x v="1"/>
    <n v="4553.4399999999996"/>
    <x v="0"/>
    <n v="27062.560000000001"/>
    <s v="Medium"/>
    <x v="4"/>
    <n v="19"/>
    <x v="4"/>
    <s v="Female"/>
    <s v="Savings"/>
    <x v="104"/>
    <s v="GBP"/>
    <x v="1"/>
    <n v="2.4E-2"/>
    <n v="2.4E-2"/>
    <s v="low"/>
    <n v="26681.654999999999"/>
    <n v="640.35972000000004"/>
    <n v="13"/>
    <n v="514"/>
    <x v="0"/>
    <n v="0"/>
    <s v="Good"/>
    <n v="1"/>
    <n v="10776.87"/>
    <s v="High Income"/>
    <s v="Unemployed"/>
    <s v="Without Loan"/>
    <s v="Low-Risk"/>
  </r>
  <r>
    <s v="T000111"/>
    <s v="C6134"/>
    <s v="AC39063435"/>
    <x v="56"/>
    <x v="4"/>
    <x v="2"/>
    <x v="0"/>
    <n v="2262.59"/>
    <x v="0"/>
    <n v="39682.18"/>
    <s v="Medium"/>
    <x v="4"/>
    <n v="53"/>
    <x v="2"/>
    <s v="Female"/>
    <s v="Credit"/>
    <x v="105"/>
    <s v="GBP"/>
    <x v="0"/>
    <n v="3.5099999999999999E-2"/>
    <n v="3.51"/>
    <s v="low"/>
    <n v="14530.97"/>
    <n v="510.03704699999997"/>
    <n v="29"/>
    <n v="738"/>
    <x v="3"/>
    <n v="1"/>
    <s v="Default"/>
    <n v="3"/>
    <n v="4213.03"/>
    <s v="Middle Income"/>
    <s v="Unemployed"/>
    <s v="With Loan"/>
    <s v="Low-Risk"/>
  </r>
  <r>
    <s v="T000112"/>
    <s v="C6977"/>
    <s v="AC44780908"/>
    <x v="104"/>
    <x v="20"/>
    <x v="2"/>
    <x v="3"/>
    <n v="1290.45"/>
    <x v="1"/>
    <n v="15542.55"/>
    <s v="Medium"/>
    <x v="0"/>
    <n v="31"/>
    <x v="0"/>
    <s v="Male"/>
    <s v="Checking"/>
    <x v="106"/>
    <s v="USD"/>
    <x v="2"/>
    <n v="4.1399999999999999E-2"/>
    <n v="4.1399999999999997"/>
    <s v="high"/>
    <n v="43299.99"/>
    <n v="1792.6195859999998"/>
    <n v="13"/>
    <n v="727"/>
    <x v="3"/>
    <n v="2"/>
    <s v="Good"/>
    <n v="3"/>
    <n v="4466.93"/>
    <s v="Middle Income"/>
    <s v="Self-employed"/>
    <s v="With Loan"/>
    <s v="Low-Risk"/>
  </r>
  <r>
    <s v="T000113"/>
    <s v="C8721"/>
    <s v="AC47738488"/>
    <x v="81"/>
    <x v="29"/>
    <x v="10"/>
    <x v="0"/>
    <n v="776.58"/>
    <x v="0"/>
    <n v="27527.11"/>
    <s v="Medium"/>
    <x v="2"/>
    <n v="33"/>
    <x v="0"/>
    <s v="Male"/>
    <s v="Credit"/>
    <x v="107"/>
    <s v="GBP"/>
    <x v="2"/>
    <n v="3.5900000000000001E-2"/>
    <n v="3.59"/>
    <s v="low"/>
    <n v="24233.200000000001"/>
    <n v="869.97188000000006"/>
    <n v="10"/>
    <n v="695"/>
    <x v="3"/>
    <n v="2"/>
    <s v="Good"/>
    <n v="3"/>
    <n v="14044.51"/>
    <s v="High Income"/>
    <s v="Unemployed"/>
    <s v="With Loan"/>
    <s v="Low-Risk"/>
  </r>
  <r>
    <s v="T000114"/>
    <s v="C8035"/>
    <s v="AC92125254"/>
    <x v="105"/>
    <x v="9"/>
    <x v="3"/>
    <x v="1"/>
    <n v="2706.83"/>
    <x v="1"/>
    <n v="17916.27"/>
    <s v="Medium"/>
    <x v="2"/>
    <n v="36"/>
    <x v="1"/>
    <s v="Female"/>
    <s v="Savings"/>
    <x v="108"/>
    <s v="GBP"/>
    <x v="1"/>
    <n v="3.9899999999999998E-2"/>
    <n v="3.99"/>
    <s v="low"/>
    <n v="48288.99"/>
    <n v="1926.7307009999997"/>
    <n v="13"/>
    <n v="508"/>
    <x v="0"/>
    <n v="0"/>
    <s v="Good"/>
    <n v="1"/>
    <n v="2418.8000000000002"/>
    <s v="Low Income"/>
    <s v="Employed"/>
    <s v="With Loan"/>
    <s v="High-Risk"/>
  </r>
  <r>
    <s v="T000115"/>
    <s v="C2484"/>
    <s v="AC56361481"/>
    <x v="106"/>
    <x v="12"/>
    <x v="2"/>
    <x v="0"/>
    <n v="556.62"/>
    <x v="0"/>
    <n v="21295.85"/>
    <s v="Medium"/>
    <x v="4"/>
    <n v="51"/>
    <x v="2"/>
    <s v="Male"/>
    <s v="Credit"/>
    <x v="109"/>
    <s v="EUR"/>
    <x v="2"/>
    <n v="4.6199999999999998E-2"/>
    <n v="4.62"/>
    <s v="high"/>
    <n v="37530.550000000003"/>
    <n v="1733.9114100000002"/>
    <n v="21"/>
    <n v="800"/>
    <x v="1"/>
    <n v="2"/>
    <s v="Good"/>
    <n v="5"/>
    <n v="8012.95"/>
    <s v="High Income"/>
    <s v="Self-employed"/>
    <s v="With Loan"/>
    <s v="Low-Risk"/>
  </r>
  <r>
    <s v="T000116"/>
    <s v="C8858"/>
    <s v="AC45055276"/>
    <x v="107"/>
    <x v="1"/>
    <x v="3"/>
    <x v="2"/>
    <n v="5714.99"/>
    <x v="0"/>
    <n v="36888.28"/>
    <s v="Medium"/>
    <x v="2"/>
    <n v="61"/>
    <x v="3"/>
    <s v="Female"/>
    <s v="Checking"/>
    <x v="110"/>
    <s v="EUR"/>
    <x v="2"/>
    <n v="4.4499999999999998E-2"/>
    <n v="4.45"/>
    <s v="high"/>
    <n v="34005.339999999997"/>
    <n v="1513.2376299999999"/>
    <n v="9"/>
    <n v="762"/>
    <x v="4"/>
    <n v="2"/>
    <s v="Good"/>
    <n v="4"/>
    <n v="6075.18"/>
    <s v="High Income"/>
    <s v="Unemployed"/>
    <s v="With Loan"/>
    <s v="Low-Risk"/>
  </r>
  <r>
    <s v="T000117"/>
    <s v="C1863"/>
    <s v="AC63775257"/>
    <x v="108"/>
    <x v="7"/>
    <x v="2"/>
    <x v="3"/>
    <n v="2909.9"/>
    <x v="0"/>
    <n v="44201.46"/>
    <s v="Medium"/>
    <x v="4"/>
    <n v="63"/>
    <x v="3"/>
    <s v="Female"/>
    <s v="Checking"/>
    <x v="111"/>
    <s v="GBP"/>
    <x v="0"/>
    <n v="3.6999999999999998E-2"/>
    <n v="3.6999999999999998E-2"/>
    <s v="low"/>
    <n v="37775.879999999997"/>
    <n v="1397.7075599999998"/>
    <n v="15"/>
    <n v="526"/>
    <x v="0"/>
    <n v="1"/>
    <s v="Default"/>
    <n v="1"/>
    <n v="10646.01"/>
    <s v="High Income"/>
    <s v="Employed"/>
    <s v="With Loan"/>
    <s v="High-Risk"/>
  </r>
  <r>
    <s v="T000118"/>
    <s v="C3790"/>
    <s v="AC44954715"/>
    <x v="109"/>
    <x v="24"/>
    <x v="8"/>
    <x v="1"/>
    <n v="8262.89"/>
    <x v="1"/>
    <n v="6953.27"/>
    <s v="Low"/>
    <x v="1"/>
    <n v="23"/>
    <x v="4"/>
    <s v="Male"/>
    <s v="Checking"/>
    <x v="72"/>
    <s v="GBP"/>
    <x v="0"/>
    <n v="1.8599999999999998E-2"/>
    <n v="1.86"/>
    <s v="low"/>
    <n v="26514.37"/>
    <n v="493.16728199999994"/>
    <n v="28"/>
    <n v="674"/>
    <x v="3"/>
    <n v="1"/>
    <s v="Default"/>
    <n v="3"/>
    <n v="12915.18"/>
    <s v="High Income"/>
    <s v="Employed"/>
    <s v="With Loan"/>
    <s v="Low-Risk"/>
  </r>
  <r>
    <s v="T000119"/>
    <s v="C8408"/>
    <s v="AC99813693"/>
    <x v="110"/>
    <x v="20"/>
    <x v="4"/>
    <x v="1"/>
    <n v="834.98"/>
    <x v="0"/>
    <n v="32097.32"/>
    <s v="Medium"/>
    <x v="0"/>
    <n v="30"/>
    <x v="0"/>
    <s v="Male"/>
    <s v="Savings"/>
    <x v="112"/>
    <s v="USD"/>
    <x v="0"/>
    <n v="3.5499999999999997E-2"/>
    <n v="3.55"/>
    <s v="low"/>
    <n v="27735.19"/>
    <n v="984.59924499999988"/>
    <n v="13"/>
    <n v="799"/>
    <x v="4"/>
    <n v="1"/>
    <s v="Default"/>
    <n v="4"/>
    <n v="6684.92"/>
    <s v="High Income"/>
    <s v="Self-employed"/>
    <s v="With Loan"/>
    <s v="Low-Risk"/>
  </r>
  <r>
    <s v="T000120"/>
    <s v="C9755"/>
    <s v="AC91250937"/>
    <x v="111"/>
    <x v="26"/>
    <x v="10"/>
    <x v="1"/>
    <n v="2340.88"/>
    <x v="0"/>
    <n v="29525.05"/>
    <s v="Medium"/>
    <x v="3"/>
    <n v="53"/>
    <x v="2"/>
    <s v="Male"/>
    <s v="Checking"/>
    <x v="113"/>
    <s v="USD"/>
    <x v="1"/>
    <n v="3.0200000000000001E-2"/>
    <n v="3.02"/>
    <s v="low"/>
    <n v="26681.654999999999"/>
    <n v="805.78598099999999"/>
    <n v="13"/>
    <n v="392"/>
    <x v="0"/>
    <n v="0"/>
    <s v="Good"/>
    <n v="1"/>
    <n v="7549.73"/>
    <s v="High Income"/>
    <s v="Employed"/>
    <s v="Without Loan"/>
    <s v="Low-Risk"/>
  </r>
  <r>
    <s v="T000121"/>
    <s v="C6116"/>
    <s v="AC77800621"/>
    <x v="112"/>
    <x v="25"/>
    <x v="10"/>
    <x v="3"/>
    <n v="7329.44"/>
    <x v="1"/>
    <n v="6802.34"/>
    <s v="Low"/>
    <x v="0"/>
    <n v="39"/>
    <x v="1"/>
    <s v="Female"/>
    <s v="Savings"/>
    <x v="114"/>
    <s v="GBP"/>
    <x v="2"/>
    <n v="3.8699999999999998E-2"/>
    <n v="3.87"/>
    <s v="low"/>
    <n v="26681.654999999999"/>
    <n v="1032.5800485"/>
    <n v="28"/>
    <n v="759"/>
    <x v="4"/>
    <n v="2"/>
    <s v="Good"/>
    <n v="4"/>
    <n v="14764.93"/>
    <s v="High Income"/>
    <s v="Unemployed"/>
    <s v="Without Loan"/>
    <s v="Low-Risk"/>
  </r>
  <r>
    <s v="T000122"/>
    <s v="C7019"/>
    <s v="AC77499583"/>
    <x v="113"/>
    <x v="2"/>
    <x v="8"/>
    <x v="2"/>
    <n v="6028.2"/>
    <x v="1"/>
    <n v="11382.82"/>
    <s v="Medium"/>
    <x v="4"/>
    <n v="35"/>
    <x v="0"/>
    <s v="Female"/>
    <s v="Credit"/>
    <x v="115"/>
    <s v="EUR"/>
    <x v="1"/>
    <n v="4.3299999999999998E-2"/>
    <n v="4.33"/>
    <s v="high"/>
    <n v="26681.654999999999"/>
    <n v="1155.3156614999998"/>
    <n v="13"/>
    <n v="620"/>
    <x v="2"/>
    <n v="0"/>
    <s v="Good"/>
    <n v="2"/>
    <n v="12190.91"/>
    <s v="High Income"/>
    <s v="Employed"/>
    <s v="Without Loan"/>
    <s v="Low-Risk"/>
  </r>
  <r>
    <s v="T000123"/>
    <s v="C2757"/>
    <s v="AC53470977"/>
    <x v="114"/>
    <x v="14"/>
    <x v="2"/>
    <x v="1"/>
    <n v="738.46"/>
    <x v="1"/>
    <n v="16239.12"/>
    <s v="Medium"/>
    <x v="4"/>
    <n v="29"/>
    <x v="0"/>
    <s v="Male"/>
    <s v="Checking"/>
    <x v="116"/>
    <s v="GBP"/>
    <x v="2"/>
    <n v="3.9699999999999999E-2"/>
    <n v="3.97"/>
    <s v="low"/>
    <n v="26681.654999999999"/>
    <n v="1059.2617034999998"/>
    <n v="26"/>
    <n v="309"/>
    <x v="0"/>
    <n v="2"/>
    <s v="Good"/>
    <n v="1"/>
    <n v="13663.65"/>
    <s v="High Income"/>
    <s v="Unemployed"/>
    <s v="Without Loan"/>
    <s v="Low-Risk"/>
  </r>
  <r>
    <s v="T000124"/>
    <s v="C8574"/>
    <s v="AC53092987"/>
    <x v="115"/>
    <x v="15"/>
    <x v="2"/>
    <x v="0"/>
    <n v="8784.67"/>
    <x v="1"/>
    <n v="9179.6200000000008"/>
    <s v="Low"/>
    <x v="0"/>
    <n v="69"/>
    <x v="3"/>
    <s v="Female"/>
    <s v="Checking"/>
    <x v="15"/>
    <s v="USD"/>
    <x v="2"/>
    <n v="4.3900000000000002E-2"/>
    <n v="4.3899999999999997"/>
    <s v="high"/>
    <n v="26681.654999999999"/>
    <n v="1171.3246545"/>
    <n v="13"/>
    <n v="602"/>
    <x v="2"/>
    <n v="2"/>
    <s v="Good"/>
    <n v="2"/>
    <n v="7703.91"/>
    <s v="High Income"/>
    <s v="Unemployed"/>
    <s v="Without Loan"/>
    <s v="Low-Risk"/>
  </r>
  <r>
    <s v="T000125"/>
    <s v="C7374"/>
    <s v="AC92822506"/>
    <x v="116"/>
    <x v="11"/>
    <x v="6"/>
    <x v="1"/>
    <n v="8784.89"/>
    <x v="1"/>
    <n v="12942.74"/>
    <s v="Medium"/>
    <x v="4"/>
    <n v="47"/>
    <x v="2"/>
    <s v="Female"/>
    <s v="Checking"/>
    <x v="95"/>
    <s v="EUR"/>
    <x v="2"/>
    <n v="1.26E-2"/>
    <n v="1.26"/>
    <s v="low"/>
    <n v="36509.660000000003"/>
    <n v="460.02171600000003"/>
    <n v="14"/>
    <n v="621"/>
    <x v="2"/>
    <n v="2"/>
    <s v="Good"/>
    <n v="2"/>
    <n v="5042.99"/>
    <s v="High Income"/>
    <s v="Self-employed"/>
    <s v="With Loan"/>
    <s v="Low-Risk"/>
  </r>
  <r>
    <s v="T000126"/>
    <s v="C7892"/>
    <s v="AC97182130"/>
    <x v="117"/>
    <x v="5"/>
    <x v="1"/>
    <x v="1"/>
    <n v="3371.04"/>
    <x v="1"/>
    <n v="14112.44"/>
    <s v="Medium"/>
    <x v="2"/>
    <n v="68"/>
    <x v="3"/>
    <s v="Female"/>
    <s v="Credit"/>
    <x v="117"/>
    <s v="EUR"/>
    <x v="0"/>
    <n v="1.1299999999999999E-2"/>
    <n v="1.1299999999999999"/>
    <s v="low"/>
    <n v="27603.58"/>
    <n v="311.92045400000001"/>
    <n v="13"/>
    <n v="755"/>
    <x v="4"/>
    <n v="1"/>
    <s v="Default"/>
    <n v="4"/>
    <n v="7354.23"/>
    <s v="High Income"/>
    <s v="Employed"/>
    <s v="With Loan"/>
    <s v="Low-Risk"/>
  </r>
  <r>
    <s v="T000127"/>
    <s v="C2678"/>
    <s v="AC50381731"/>
    <x v="4"/>
    <x v="4"/>
    <x v="2"/>
    <x v="1"/>
    <n v="3470.02"/>
    <x v="1"/>
    <n v="17448.02"/>
    <s v="Medium"/>
    <x v="2"/>
    <n v="57"/>
    <x v="2"/>
    <s v="Male"/>
    <s v="Checking"/>
    <x v="118"/>
    <s v="USD"/>
    <x v="1"/>
    <n v="2.0299999999999999E-2"/>
    <n v="2.0299999999999998"/>
    <s v="low"/>
    <n v="26681.654999999999"/>
    <n v="541.63759649999997"/>
    <n v="13"/>
    <n v="577"/>
    <x v="0"/>
    <n v="0"/>
    <s v="Good"/>
    <n v="1"/>
    <n v="11309.19"/>
    <s v="High Income"/>
    <s v="Self-employed"/>
    <s v="Without Loan"/>
    <s v="Low-Risk"/>
  </r>
  <r>
    <s v="T000128"/>
    <s v="C4242"/>
    <s v="AC34694812"/>
    <x v="97"/>
    <x v="20"/>
    <x v="3"/>
    <x v="1"/>
    <n v="9891.3799999999992"/>
    <x v="0"/>
    <n v="37720.129999999997"/>
    <s v="Medium"/>
    <x v="4"/>
    <n v="24"/>
    <x v="4"/>
    <s v="Female"/>
    <s v="Savings"/>
    <x v="119"/>
    <s v="GBP"/>
    <x v="1"/>
    <n v="4.5999999999999999E-2"/>
    <n v="4.5999999999999999E-2"/>
    <s v="low"/>
    <n v="26681.654999999999"/>
    <n v="1227.3561299999999"/>
    <n v="26"/>
    <n v="837"/>
    <x v="1"/>
    <n v="0"/>
    <s v="Good"/>
    <n v="5"/>
    <n v="3422.6"/>
    <s v="Middle Income"/>
    <s v="Self-employed"/>
    <s v="Without Loan"/>
    <s v="Low-Risk"/>
  </r>
  <r>
    <s v="T000129"/>
    <s v="C5636"/>
    <s v="AC71399188"/>
    <x v="118"/>
    <x v="10"/>
    <x v="10"/>
    <x v="2"/>
    <n v="6299.14"/>
    <x v="0"/>
    <n v="29023.7"/>
    <s v="Medium"/>
    <x v="4"/>
    <n v="49"/>
    <x v="2"/>
    <s v="Male"/>
    <s v="Credit"/>
    <x v="120"/>
    <s v="GBP"/>
    <x v="2"/>
    <n v="4.2900000000000001E-2"/>
    <n v="4.29"/>
    <s v="high"/>
    <n v="18121"/>
    <n v="777.39089999999999"/>
    <n v="6"/>
    <n v="692"/>
    <x v="3"/>
    <n v="2"/>
    <s v="Good"/>
    <n v="3"/>
    <n v="5516.1"/>
    <s v="High Income"/>
    <s v="Self-employed"/>
    <s v="With Loan"/>
    <s v="Low-Risk"/>
  </r>
  <r>
    <s v="T000130"/>
    <s v="C2059"/>
    <s v="AC41970599"/>
    <x v="119"/>
    <x v="20"/>
    <x v="1"/>
    <x v="0"/>
    <n v="5360.03"/>
    <x v="0"/>
    <n v="49326.09"/>
    <s v="Medium"/>
    <x v="2"/>
    <n v="65"/>
    <x v="3"/>
    <s v="Male"/>
    <s v="Credit"/>
    <x v="121"/>
    <s v="GBP"/>
    <x v="1"/>
    <n v="3.73E-2"/>
    <n v="3.73"/>
    <s v="low"/>
    <n v="26681.654999999999"/>
    <n v="995.22573149999994"/>
    <n v="19"/>
    <n v="394"/>
    <x v="0"/>
    <n v="0"/>
    <s v="Good"/>
    <n v="1"/>
    <n v="2606.27"/>
    <s v="Low Income"/>
    <s v="Unemployed"/>
    <s v="Without Loan"/>
    <s v="Low-Risk"/>
  </r>
  <r>
    <s v="T000131"/>
    <s v="C7668"/>
    <s v="AC61207679"/>
    <x v="103"/>
    <x v="6"/>
    <x v="2"/>
    <x v="2"/>
    <n v="8397.7099999999991"/>
    <x v="0"/>
    <n v="21322.06"/>
    <s v="Medium"/>
    <x v="4"/>
    <n v="36"/>
    <x v="1"/>
    <s v="Female"/>
    <s v="Credit"/>
    <x v="122"/>
    <s v="USD"/>
    <x v="0"/>
    <n v="3.7999999999999999E-2"/>
    <n v="3.7999999999999999E-2"/>
    <s v="low"/>
    <n v="15722.95"/>
    <n v="597.47210000000007"/>
    <n v="4"/>
    <n v="406"/>
    <x v="0"/>
    <n v="1"/>
    <s v="Default"/>
    <n v="1"/>
    <n v="7620.52"/>
    <s v="High Income"/>
    <s v="Unemployed"/>
    <s v="With Loan"/>
    <s v="Low-Risk"/>
  </r>
  <r>
    <s v="T000132"/>
    <s v="C4157"/>
    <s v="AC49787171"/>
    <x v="91"/>
    <x v="1"/>
    <x v="5"/>
    <x v="0"/>
    <n v="2924.37"/>
    <x v="0"/>
    <n v="37939.39"/>
    <s v="Medium"/>
    <x v="4"/>
    <n v="23"/>
    <x v="4"/>
    <s v="Male"/>
    <s v="Credit"/>
    <x v="123"/>
    <s v="EUR"/>
    <x v="1"/>
    <n v="3.9100000000000003E-2"/>
    <n v="3.91"/>
    <s v="low"/>
    <n v="26681.654999999999"/>
    <n v="1043.2527104999999"/>
    <n v="20"/>
    <n v="689"/>
    <x v="3"/>
    <n v="0"/>
    <s v="Good"/>
    <n v="3"/>
    <n v="12756.79"/>
    <s v="High Income"/>
    <s v="Unemployed"/>
    <s v="Without Loan"/>
    <s v="Low-Risk"/>
  </r>
  <r>
    <s v="T000133"/>
    <s v="C6915"/>
    <s v="AC11270896"/>
    <x v="120"/>
    <x v="9"/>
    <x v="7"/>
    <x v="1"/>
    <n v="4348.91"/>
    <x v="0"/>
    <n v="43701.95"/>
    <s v="Medium"/>
    <x v="0"/>
    <n v="37"/>
    <x v="1"/>
    <s v="Female"/>
    <s v="Credit"/>
    <x v="124"/>
    <s v="USD"/>
    <x v="2"/>
    <n v="4.7699999999999999E-2"/>
    <n v="4.7699999999999996"/>
    <s v="high"/>
    <n v="44058.400000000001"/>
    <n v="2101.5856800000001"/>
    <n v="13"/>
    <n v="825"/>
    <x v="1"/>
    <n v="2"/>
    <s v="Good"/>
    <n v="5"/>
    <n v="2320.63"/>
    <s v="Low Income"/>
    <s v="Unemployed"/>
    <s v="With Loan"/>
    <s v="Low-Risk"/>
  </r>
  <r>
    <s v="T000134"/>
    <s v="C3693"/>
    <s v="AC21952314"/>
    <x v="121"/>
    <x v="8"/>
    <x v="1"/>
    <x v="3"/>
    <n v="2750.99"/>
    <x v="0"/>
    <n v="34269.949999999997"/>
    <s v="Medium"/>
    <x v="3"/>
    <n v="44"/>
    <x v="1"/>
    <s v="Male"/>
    <s v="Savings"/>
    <x v="125"/>
    <s v="GBP"/>
    <x v="0"/>
    <n v="4.3299999999999998E-2"/>
    <n v="4.33"/>
    <s v="high"/>
    <n v="26681.654999999999"/>
    <n v="1155.3156614999998"/>
    <n v="19"/>
    <n v="370"/>
    <x v="0"/>
    <n v="1"/>
    <s v="Default"/>
    <n v="1"/>
    <n v="10779.21"/>
    <s v="High Income"/>
    <s v="Employed"/>
    <s v="Without Loan"/>
    <s v="Low-Risk"/>
  </r>
  <r>
    <s v="T000135"/>
    <s v="C4627"/>
    <s v="AC78168486"/>
    <x v="122"/>
    <x v="10"/>
    <x v="8"/>
    <x v="2"/>
    <n v="7912.69"/>
    <x v="0"/>
    <n v="21181.37"/>
    <s v="Medium"/>
    <x v="2"/>
    <n v="60"/>
    <x v="2"/>
    <s v="Male"/>
    <s v="Credit"/>
    <x v="126"/>
    <s v="USD"/>
    <x v="0"/>
    <n v="3.49E-2"/>
    <n v="3.49"/>
    <s v="low"/>
    <n v="26284.14"/>
    <n v="917.31648599999994"/>
    <n v="13"/>
    <n v="675"/>
    <x v="3"/>
    <n v="1"/>
    <s v="Default"/>
    <n v="3"/>
    <n v="14122.45"/>
    <s v="High Income"/>
    <s v="Employed"/>
    <s v="With Loan"/>
    <s v="Low-Risk"/>
  </r>
  <r>
    <s v="T000136"/>
    <s v="C6450"/>
    <s v="AC81531239"/>
    <x v="123"/>
    <x v="23"/>
    <x v="4"/>
    <x v="3"/>
    <n v="5776.16"/>
    <x v="0"/>
    <n v="37926.14"/>
    <s v="Medium"/>
    <x v="0"/>
    <n v="54"/>
    <x v="2"/>
    <s v="Female"/>
    <s v="Checking"/>
    <x v="127"/>
    <s v="EUR"/>
    <x v="2"/>
    <n v="3.6600000000000001E-2"/>
    <n v="3.66"/>
    <s v="low"/>
    <n v="26681.654999999999"/>
    <n v="976.54857299999992"/>
    <n v="29"/>
    <n v="667"/>
    <x v="2"/>
    <n v="2"/>
    <s v="Good"/>
    <n v="2"/>
    <n v="5080.0600000000004"/>
    <s v="High Income"/>
    <s v="Unemployed"/>
    <s v="Without Loan"/>
    <s v="Low-Risk"/>
  </r>
  <r>
    <s v="T000137"/>
    <s v="C2663"/>
    <s v="AC26770274"/>
    <x v="90"/>
    <x v="15"/>
    <x v="5"/>
    <x v="2"/>
    <n v="6622.37"/>
    <x v="1"/>
    <n v="10979.69"/>
    <s v="Medium"/>
    <x v="3"/>
    <n v="65"/>
    <x v="3"/>
    <s v="Male"/>
    <s v="Credit"/>
    <x v="128"/>
    <s v="USD"/>
    <x v="1"/>
    <n v="1.8499999999999999E-2"/>
    <n v="1.85"/>
    <s v="low"/>
    <n v="26681.654999999999"/>
    <n v="493.61061749999993"/>
    <n v="13"/>
    <n v="350"/>
    <x v="0"/>
    <n v="0"/>
    <s v="Good"/>
    <n v="1"/>
    <n v="11017.25"/>
    <s v="High Income"/>
    <s v="Unemployed"/>
    <s v="Without Loan"/>
    <s v="Low-Risk"/>
  </r>
  <r>
    <s v="T000138"/>
    <s v="C6592"/>
    <s v="AC60709813"/>
    <x v="124"/>
    <x v="22"/>
    <x v="11"/>
    <x v="1"/>
    <n v="2597.84"/>
    <x v="1"/>
    <n v="17050.060000000001"/>
    <s v="Medium"/>
    <x v="4"/>
    <n v="24"/>
    <x v="4"/>
    <s v="Male"/>
    <s v="Credit"/>
    <x v="129"/>
    <s v="GBP"/>
    <x v="2"/>
    <n v="3.6299999999999999E-2"/>
    <n v="3.63"/>
    <s v="low"/>
    <n v="23708.04"/>
    <n v="860.60185200000001"/>
    <n v="13"/>
    <n v="442"/>
    <x v="0"/>
    <n v="2"/>
    <s v="Good"/>
    <n v="1"/>
    <n v="14676.32"/>
    <s v="High Income"/>
    <s v="Employed"/>
    <s v="With Loan"/>
    <s v="Low-Risk"/>
  </r>
  <r>
    <s v="T000139"/>
    <s v="C8392"/>
    <s v="AC41354977"/>
    <x v="125"/>
    <x v="28"/>
    <x v="8"/>
    <x v="2"/>
    <n v="2280.23"/>
    <x v="0"/>
    <n v="27787.58"/>
    <s v="Medium"/>
    <x v="4"/>
    <n v="22"/>
    <x v="4"/>
    <s v="Male"/>
    <s v="Credit"/>
    <x v="130"/>
    <s v="EUR"/>
    <x v="1"/>
    <n v="2.7E-2"/>
    <n v="2.7E-2"/>
    <s v="low"/>
    <n v="22083.39"/>
    <n v="596.25153"/>
    <n v="13"/>
    <n v="718"/>
    <x v="3"/>
    <n v="0"/>
    <s v="Good"/>
    <n v="3"/>
    <n v="14509.61"/>
    <s v="High Income"/>
    <s v="Self-employed"/>
    <s v="With Loan"/>
    <s v="Low-Risk"/>
  </r>
  <r>
    <s v="T000140"/>
    <s v="C2306"/>
    <s v="AC41873646"/>
    <x v="77"/>
    <x v="25"/>
    <x v="7"/>
    <x v="1"/>
    <n v="4934.91"/>
    <x v="0"/>
    <n v="29195.06"/>
    <s v="Medium"/>
    <x v="0"/>
    <n v="28"/>
    <x v="0"/>
    <s v="Female"/>
    <s v="Credit"/>
    <x v="75"/>
    <s v="USD"/>
    <x v="1"/>
    <n v="1.61E-2"/>
    <n v="1.61"/>
    <s v="low"/>
    <n v="26681.654999999999"/>
    <n v="429.57464549999997"/>
    <n v="9"/>
    <n v="847"/>
    <x v="1"/>
    <n v="0"/>
    <s v="Good"/>
    <n v="5"/>
    <n v="5054.08"/>
    <s v="High Income"/>
    <s v="Self-employed"/>
    <s v="Without Loan"/>
    <s v="Low-Risk"/>
  </r>
  <r>
    <s v="T000141"/>
    <s v="C7776"/>
    <s v="AC81240343"/>
    <x v="105"/>
    <x v="9"/>
    <x v="3"/>
    <x v="2"/>
    <n v="7401.9"/>
    <x v="1"/>
    <n v="2084.9299999999998"/>
    <s v="Low"/>
    <x v="4"/>
    <n v="32"/>
    <x v="0"/>
    <s v="Female"/>
    <s v="Credit"/>
    <x v="131"/>
    <s v="USD"/>
    <x v="0"/>
    <n v="4.2299999999999997E-2"/>
    <n v="4.2300000000000004"/>
    <s v="high"/>
    <n v="26681.654999999999"/>
    <n v="1128.6340064999999"/>
    <n v="13"/>
    <n v="799"/>
    <x v="4"/>
    <n v="1"/>
    <s v="Default"/>
    <n v="4"/>
    <n v="3304.3"/>
    <s v="Middle Income"/>
    <s v="Unemployed"/>
    <s v="Without Loan"/>
    <s v="Low-Risk"/>
  </r>
  <r>
    <s v="T000142"/>
    <s v="C6864"/>
    <s v="AC52955157"/>
    <x v="126"/>
    <x v="24"/>
    <x v="8"/>
    <x v="1"/>
    <n v="5299.87"/>
    <x v="0"/>
    <n v="47310.6"/>
    <s v="Medium"/>
    <x v="1"/>
    <n v="20"/>
    <x v="4"/>
    <s v="Male"/>
    <s v="Savings"/>
    <x v="132"/>
    <s v="EUR"/>
    <x v="2"/>
    <n v="3.04E-2"/>
    <n v="3.04"/>
    <s v="low"/>
    <n v="34145.120000000003"/>
    <n v="1038.0116480000002"/>
    <n v="13"/>
    <n v="466"/>
    <x v="0"/>
    <n v="2"/>
    <s v="Good"/>
    <n v="1"/>
    <n v="3927.67"/>
    <s v="Middle Income"/>
    <s v="Self-employed"/>
    <s v="With Loan"/>
    <s v="High-Risk"/>
  </r>
  <r>
    <s v="T000143"/>
    <s v="C8526"/>
    <s v="AC69365444"/>
    <x v="94"/>
    <x v="7"/>
    <x v="0"/>
    <x v="1"/>
    <n v="423.19"/>
    <x v="0"/>
    <n v="35134.74"/>
    <s v="Medium"/>
    <x v="0"/>
    <n v="22"/>
    <x v="4"/>
    <s v="Male"/>
    <s v="Savings"/>
    <x v="133"/>
    <s v="EUR"/>
    <x v="0"/>
    <n v="4.9099999999999998E-2"/>
    <n v="4.91"/>
    <s v="high"/>
    <n v="25328.38"/>
    <n v="1243.623458"/>
    <n v="25"/>
    <n v="559"/>
    <x v="0"/>
    <n v="1"/>
    <s v="Default"/>
    <n v="1"/>
    <n v="11126.46"/>
    <s v="High Income"/>
    <s v="Unemployed"/>
    <s v="With Loan"/>
    <s v="Low-Risk"/>
  </r>
  <r>
    <s v="T000144"/>
    <s v="C9901"/>
    <s v="AC74445751"/>
    <x v="127"/>
    <x v="18"/>
    <x v="6"/>
    <x v="0"/>
    <n v="8698.66"/>
    <x v="0"/>
    <n v="25289.48"/>
    <s v="Medium"/>
    <x v="3"/>
    <n v="40"/>
    <x v="1"/>
    <s v="Male"/>
    <s v="Credit"/>
    <x v="134"/>
    <s v="GBP"/>
    <x v="2"/>
    <n v="2.1299999999999999E-2"/>
    <n v="2.13"/>
    <s v="low"/>
    <n v="48591.12"/>
    <n v="1034.9908560000001"/>
    <n v="13"/>
    <n v="491"/>
    <x v="0"/>
    <n v="2"/>
    <s v="Good"/>
    <n v="1"/>
    <n v="11434.87"/>
    <s v="High Income"/>
    <s v="Unemployed"/>
    <s v="With Loan"/>
    <s v="High-Risk"/>
  </r>
  <r>
    <s v="T000145"/>
    <s v="C6575"/>
    <s v="AC95518073"/>
    <x v="5"/>
    <x v="5"/>
    <x v="2"/>
    <x v="1"/>
    <n v="740.4"/>
    <x v="0"/>
    <n v="46723.23"/>
    <s v="Medium"/>
    <x v="0"/>
    <n v="54"/>
    <x v="2"/>
    <s v="Female"/>
    <s v="Savings"/>
    <x v="12"/>
    <s v="EUR"/>
    <x v="2"/>
    <n v="2.92E-2"/>
    <n v="2.92"/>
    <s v="low"/>
    <n v="26681.654999999999"/>
    <n v="779.10432600000001"/>
    <n v="13"/>
    <n v="501"/>
    <x v="0"/>
    <n v="2"/>
    <s v="Good"/>
    <n v="1"/>
    <n v="10765.08"/>
    <s v="High Income"/>
    <s v="Unemployed"/>
    <s v="Without Loan"/>
    <s v="Low-Risk"/>
  </r>
  <r>
    <s v="T000146"/>
    <s v="C6530"/>
    <s v="AC46905710"/>
    <x v="128"/>
    <x v="15"/>
    <x v="4"/>
    <x v="0"/>
    <n v="9562.66"/>
    <x v="0"/>
    <n v="22515.68"/>
    <s v="Medium"/>
    <x v="2"/>
    <n v="26"/>
    <x v="0"/>
    <s v="Female"/>
    <s v="Checking"/>
    <x v="135"/>
    <s v="GBP"/>
    <x v="0"/>
    <n v="2.7900000000000001E-2"/>
    <n v="2.79"/>
    <s v="low"/>
    <n v="26681.654999999999"/>
    <n v="744.41817449999996"/>
    <n v="13"/>
    <n v="484"/>
    <x v="0"/>
    <n v="1"/>
    <s v="Default"/>
    <n v="1"/>
    <n v="6369.02"/>
    <s v="High Income"/>
    <s v="Employed"/>
    <s v="Without Loan"/>
    <s v="Low-Risk"/>
  </r>
  <r>
    <s v="T000147"/>
    <s v="C5413"/>
    <s v="AC62673683"/>
    <x v="129"/>
    <x v="11"/>
    <x v="4"/>
    <x v="1"/>
    <n v="348.91"/>
    <x v="0"/>
    <n v="49041.34"/>
    <s v="Medium"/>
    <x v="0"/>
    <n v="32"/>
    <x v="0"/>
    <s v="Male"/>
    <s v="Credit"/>
    <x v="136"/>
    <s v="USD"/>
    <x v="2"/>
    <n v="1.4800000000000001E-2"/>
    <n v="1.48"/>
    <s v="low"/>
    <n v="23858.36"/>
    <n v="353.10372800000005"/>
    <n v="13"/>
    <n v="457"/>
    <x v="0"/>
    <n v="2"/>
    <s v="Good"/>
    <n v="1"/>
    <n v="4207.1000000000004"/>
    <s v="Middle Income"/>
    <s v="Self-employed"/>
    <s v="With Loan"/>
    <s v="Low-Risk"/>
  </r>
  <r>
    <s v="T000148"/>
    <s v="C4748"/>
    <s v="AC34755666"/>
    <x v="130"/>
    <x v="17"/>
    <x v="1"/>
    <x v="3"/>
    <n v="6975.06"/>
    <x v="0"/>
    <n v="26101.95"/>
    <s v="Medium"/>
    <x v="4"/>
    <n v="20"/>
    <x v="4"/>
    <s v="Female"/>
    <s v="Checking"/>
    <x v="1"/>
    <s v="GBP"/>
    <x v="2"/>
    <n v="2.7E-2"/>
    <n v="2.7E-2"/>
    <s v="low"/>
    <n v="26681.654999999999"/>
    <n v="720.40468499999997"/>
    <n v="13"/>
    <n v="398"/>
    <x v="0"/>
    <n v="2"/>
    <s v="Good"/>
    <n v="1"/>
    <n v="9549.89"/>
    <s v="High Income"/>
    <s v="Employed"/>
    <s v="Without Loan"/>
    <s v="Low-Risk"/>
  </r>
  <r>
    <s v="T000149"/>
    <s v="C1663"/>
    <s v="AC15703394"/>
    <x v="131"/>
    <x v="28"/>
    <x v="3"/>
    <x v="1"/>
    <n v="913.85"/>
    <x v="1"/>
    <n v="6600"/>
    <s v="Low"/>
    <x v="4"/>
    <n v="46"/>
    <x v="2"/>
    <s v="Female"/>
    <s v="Checking"/>
    <x v="62"/>
    <s v="USD"/>
    <x v="1"/>
    <n v="2.1499999999999998E-2"/>
    <n v="2.15"/>
    <s v="low"/>
    <n v="26681.654999999999"/>
    <n v="573.65558249999992"/>
    <n v="13"/>
    <n v="540"/>
    <x v="0"/>
    <n v="0"/>
    <s v="Good"/>
    <n v="1"/>
    <n v="8287.85"/>
    <s v="High Income"/>
    <s v="Self-employed"/>
    <s v="Without Loan"/>
    <s v="Low-Risk"/>
  </r>
  <r>
    <s v="T000150"/>
    <s v="C2998"/>
    <s v="AC96654442"/>
    <x v="132"/>
    <x v="28"/>
    <x v="9"/>
    <x v="3"/>
    <n v="9115.7000000000007"/>
    <x v="0"/>
    <n v="38475.25"/>
    <s v="Medium"/>
    <x v="1"/>
    <n v="23"/>
    <x v="4"/>
    <s v="Female"/>
    <s v="Credit"/>
    <x v="137"/>
    <s v="EUR"/>
    <x v="2"/>
    <n v="1.6400000000000001E-2"/>
    <n v="1.64"/>
    <s v="low"/>
    <n v="17316.95"/>
    <n v="283.99798000000004"/>
    <n v="23"/>
    <n v="790"/>
    <x v="4"/>
    <n v="2"/>
    <s v="Good"/>
    <n v="4"/>
    <n v="11474.84"/>
    <s v="High Income"/>
    <s v="Employed"/>
    <s v="With Loan"/>
    <s v="Low-Risk"/>
  </r>
  <r>
    <s v="T000151"/>
    <s v="C8994"/>
    <s v="AC21415376"/>
    <x v="133"/>
    <x v="2"/>
    <x v="2"/>
    <x v="3"/>
    <n v="4697.8900000000003"/>
    <x v="0"/>
    <n v="34265.99"/>
    <s v="Medium"/>
    <x v="1"/>
    <n v="34"/>
    <x v="0"/>
    <s v="Female"/>
    <s v="Checking"/>
    <x v="138"/>
    <s v="USD"/>
    <x v="2"/>
    <n v="2.1299999999999999E-2"/>
    <n v="2.13"/>
    <s v="low"/>
    <n v="26681.654999999999"/>
    <n v="568.31925149999995"/>
    <n v="27"/>
    <n v="501"/>
    <x v="0"/>
    <n v="2"/>
    <s v="Good"/>
    <n v="1"/>
    <n v="7737.68"/>
    <s v="High Income"/>
    <s v="Employed"/>
    <s v="Without Loan"/>
    <s v="Low-Risk"/>
  </r>
  <r>
    <s v="T000152"/>
    <s v="C2495"/>
    <s v="AC86176890"/>
    <x v="127"/>
    <x v="18"/>
    <x v="6"/>
    <x v="1"/>
    <n v="1461.49"/>
    <x v="0"/>
    <n v="38876.35"/>
    <s v="Medium"/>
    <x v="1"/>
    <n v="43"/>
    <x v="1"/>
    <s v="Male"/>
    <s v="Checking"/>
    <x v="132"/>
    <s v="EUR"/>
    <x v="0"/>
    <n v="1.9300000000000001E-2"/>
    <n v="1.93"/>
    <s v="low"/>
    <n v="20138.47"/>
    <n v="388.67247100000003"/>
    <n v="17"/>
    <n v="808"/>
    <x v="1"/>
    <n v="1"/>
    <s v="Default"/>
    <n v="5"/>
    <n v="6402.32"/>
    <s v="High Income"/>
    <s v="Unemployed"/>
    <s v="With Loan"/>
    <s v="Low-Risk"/>
  </r>
  <r>
    <s v="T000153"/>
    <s v="C4304"/>
    <s v="AC23283692"/>
    <x v="134"/>
    <x v="7"/>
    <x v="2"/>
    <x v="3"/>
    <n v="3474.08"/>
    <x v="0"/>
    <n v="47620.66"/>
    <s v="Medium"/>
    <x v="3"/>
    <n v="38"/>
    <x v="1"/>
    <s v="Female"/>
    <s v="Checking"/>
    <x v="139"/>
    <s v="USD"/>
    <x v="0"/>
    <n v="3.9399999999999998E-2"/>
    <n v="3.94"/>
    <s v="low"/>
    <n v="37678.199999999997"/>
    <n v="1484.5210799999998"/>
    <n v="3"/>
    <n v="395"/>
    <x v="0"/>
    <n v="1"/>
    <s v="Default"/>
    <n v="1"/>
    <n v="5815.22"/>
    <s v="High Income"/>
    <s v="Unemployed"/>
    <s v="With Loan"/>
    <s v="High-Risk"/>
  </r>
  <r>
    <s v="T000154"/>
    <s v="C4763"/>
    <s v="AC99817241"/>
    <x v="110"/>
    <x v="20"/>
    <x v="4"/>
    <x v="0"/>
    <n v="1731.76"/>
    <x v="0"/>
    <n v="39047.980000000003"/>
    <s v="Medium"/>
    <x v="1"/>
    <n v="25"/>
    <x v="4"/>
    <s v="Female"/>
    <s v="Credit"/>
    <x v="140"/>
    <s v="USD"/>
    <x v="2"/>
    <n v="1.12E-2"/>
    <n v="1.1200000000000001"/>
    <s v="low"/>
    <n v="26681.654999999999"/>
    <n v="298.83453599999996"/>
    <n v="13"/>
    <n v="789"/>
    <x v="4"/>
    <n v="2"/>
    <s v="Good"/>
    <n v="4"/>
    <n v="4749.1099999999997"/>
    <s v="Middle Income"/>
    <s v="Employed"/>
    <s v="Without Loan"/>
    <s v="Low-Risk"/>
  </r>
  <r>
    <s v="T000155"/>
    <s v="C6232"/>
    <s v="AC33567809"/>
    <x v="135"/>
    <x v="8"/>
    <x v="1"/>
    <x v="2"/>
    <n v="1788.76"/>
    <x v="0"/>
    <n v="30955.49"/>
    <s v="Medium"/>
    <x v="3"/>
    <n v="38"/>
    <x v="1"/>
    <s v="Male"/>
    <s v="Credit"/>
    <x v="141"/>
    <s v="USD"/>
    <x v="1"/>
    <n v="3.4700000000000002E-2"/>
    <n v="3.47"/>
    <s v="low"/>
    <n v="26681.654999999999"/>
    <n v="925.85342849999995"/>
    <n v="8"/>
    <n v="517"/>
    <x v="0"/>
    <n v="0"/>
    <s v="Good"/>
    <n v="1"/>
    <n v="5454.7"/>
    <s v="High Income"/>
    <s v="Self-employed"/>
    <s v="Without Loan"/>
    <s v="Low-Risk"/>
  </r>
  <r>
    <s v="T000156"/>
    <s v="C2853"/>
    <s v="AC65182836"/>
    <x v="136"/>
    <x v="1"/>
    <x v="4"/>
    <x v="1"/>
    <n v="9486.27"/>
    <x v="0"/>
    <n v="43008.14"/>
    <s v="Medium"/>
    <x v="1"/>
    <n v="28"/>
    <x v="0"/>
    <s v="Male"/>
    <s v="Checking"/>
    <x v="130"/>
    <s v="USD"/>
    <x v="1"/>
    <n v="4.0399999999999998E-2"/>
    <n v="4.04"/>
    <s v="high"/>
    <n v="38752.76"/>
    <n v="1565.611504"/>
    <n v="13"/>
    <n v="826"/>
    <x v="1"/>
    <n v="0"/>
    <s v="Good"/>
    <n v="5"/>
    <n v="3232.8"/>
    <s v="Middle Income"/>
    <s v="Self-employed"/>
    <s v="With Loan"/>
    <s v="Low-Risk"/>
  </r>
  <r>
    <s v="T000157"/>
    <s v="C7585"/>
    <s v="AC12721864"/>
    <x v="137"/>
    <x v="4"/>
    <x v="5"/>
    <x v="3"/>
    <n v="4507.9399999999996"/>
    <x v="0"/>
    <n v="33989.08"/>
    <s v="Medium"/>
    <x v="3"/>
    <n v="55"/>
    <x v="2"/>
    <s v="Female"/>
    <s v="Credit"/>
    <x v="142"/>
    <s v="GBP"/>
    <x v="0"/>
    <n v="2.92E-2"/>
    <n v="2.92"/>
    <s v="low"/>
    <n v="9465.2999999999993"/>
    <n v="276.38675999999998"/>
    <n v="13"/>
    <n v="572"/>
    <x v="0"/>
    <n v="1"/>
    <s v="Default"/>
    <n v="1"/>
    <n v="6509.14"/>
    <s v="High Income"/>
    <s v="Unemployed"/>
    <s v="With Loan"/>
    <s v="Low-Risk"/>
  </r>
  <r>
    <s v="T000158"/>
    <s v="C2291"/>
    <s v="AC64278856"/>
    <x v="138"/>
    <x v="3"/>
    <x v="7"/>
    <x v="1"/>
    <n v="7909.14"/>
    <x v="0"/>
    <n v="20997.83"/>
    <s v="Medium"/>
    <x v="0"/>
    <n v="25"/>
    <x v="4"/>
    <s v="Female"/>
    <s v="Credit"/>
    <x v="143"/>
    <s v="USD"/>
    <x v="2"/>
    <n v="4.7300000000000002E-2"/>
    <n v="4.7300000000000004"/>
    <s v="high"/>
    <n v="42757.21"/>
    <n v="2022.416033"/>
    <n v="2"/>
    <n v="518"/>
    <x v="0"/>
    <n v="2"/>
    <s v="Good"/>
    <n v="1"/>
    <n v="2475.41"/>
    <s v="Low Income"/>
    <s v="Unemployed"/>
    <s v="With Loan"/>
    <s v="High-Risk"/>
  </r>
  <r>
    <s v="T000159"/>
    <s v="C4581"/>
    <s v="AC43458471"/>
    <x v="139"/>
    <x v="26"/>
    <x v="5"/>
    <x v="0"/>
    <n v="6432.1"/>
    <x v="0"/>
    <n v="44395.37"/>
    <s v="Medium"/>
    <x v="0"/>
    <n v="59"/>
    <x v="2"/>
    <s v="Male"/>
    <s v="Checking"/>
    <x v="144"/>
    <s v="GBP"/>
    <x v="2"/>
    <n v="3.8300000000000001E-2"/>
    <n v="3.83"/>
    <s v="low"/>
    <n v="26681.654999999999"/>
    <n v="1021.9073865"/>
    <n v="2"/>
    <n v="631"/>
    <x v="2"/>
    <n v="2"/>
    <s v="Good"/>
    <n v="2"/>
    <n v="4423.38"/>
    <s v="Middle Income"/>
    <s v="Self-employed"/>
    <s v="Without Loan"/>
    <s v="Low-Risk"/>
  </r>
  <r>
    <s v="T000160"/>
    <s v="C8554"/>
    <s v="AC50539152"/>
    <x v="140"/>
    <x v="19"/>
    <x v="10"/>
    <x v="1"/>
    <n v="6796.62"/>
    <x v="1"/>
    <n v="11873.12"/>
    <s v="Medium"/>
    <x v="4"/>
    <n v="41"/>
    <x v="1"/>
    <s v="Male"/>
    <s v="Credit"/>
    <x v="145"/>
    <s v="EUR"/>
    <x v="1"/>
    <n v="3.9899999999999998E-2"/>
    <n v="3.99"/>
    <s v="low"/>
    <n v="19510.04"/>
    <n v="778.45059600000002"/>
    <n v="13"/>
    <n v="752"/>
    <x v="4"/>
    <n v="0"/>
    <s v="Good"/>
    <n v="4"/>
    <n v="11708.02"/>
    <s v="High Income"/>
    <s v="Self-employed"/>
    <s v="With Loan"/>
    <s v="Low-Risk"/>
  </r>
  <r>
    <s v="T000161"/>
    <s v="C8280"/>
    <s v="AC38104320"/>
    <x v="141"/>
    <x v="17"/>
    <x v="3"/>
    <x v="1"/>
    <n v="1403.77"/>
    <x v="0"/>
    <n v="36017.42"/>
    <s v="Medium"/>
    <x v="3"/>
    <n v="52"/>
    <x v="2"/>
    <s v="Male"/>
    <s v="Savings"/>
    <x v="75"/>
    <s v="EUR"/>
    <x v="1"/>
    <n v="1.7899999999999999E-2"/>
    <n v="1.79"/>
    <s v="low"/>
    <n v="46676.42"/>
    <n v="835.5079179999999"/>
    <n v="9"/>
    <n v="451"/>
    <x v="0"/>
    <n v="0"/>
    <s v="Good"/>
    <n v="1"/>
    <n v="6231.1"/>
    <s v="High Income"/>
    <s v="Self-employed"/>
    <s v="With Loan"/>
    <s v="High-Risk"/>
  </r>
  <r>
    <s v="T000162"/>
    <s v="C2636"/>
    <s v="AC84842172"/>
    <x v="142"/>
    <x v="12"/>
    <x v="2"/>
    <x v="3"/>
    <n v="2418.4299999999998"/>
    <x v="0"/>
    <n v="44196.61"/>
    <s v="Medium"/>
    <x v="2"/>
    <n v="31"/>
    <x v="0"/>
    <s v="Female"/>
    <s v="Credit"/>
    <x v="146"/>
    <s v="GBP"/>
    <x v="1"/>
    <n v="4.1099999999999998E-2"/>
    <n v="4.1100000000000003"/>
    <s v="high"/>
    <n v="40685.370000000003"/>
    <n v="1672.168707"/>
    <n v="20"/>
    <n v="646"/>
    <x v="2"/>
    <n v="0"/>
    <s v="Good"/>
    <n v="2"/>
    <n v="10687.08"/>
    <s v="High Income"/>
    <s v="Unemployed"/>
    <s v="With Loan"/>
    <s v="Low-Risk"/>
  </r>
  <r>
    <s v="T000163"/>
    <s v="C4696"/>
    <s v="AC13875754"/>
    <x v="143"/>
    <x v="11"/>
    <x v="0"/>
    <x v="0"/>
    <n v="7888.83"/>
    <x v="0"/>
    <n v="36834.51"/>
    <s v="Medium"/>
    <x v="4"/>
    <n v="31"/>
    <x v="0"/>
    <s v="Female"/>
    <s v="Savings"/>
    <x v="66"/>
    <s v="EUR"/>
    <x v="0"/>
    <n v="4.3299999999999998E-2"/>
    <n v="4.33"/>
    <s v="high"/>
    <n v="46509.599999999999"/>
    <n v="2013.8656799999999"/>
    <n v="13"/>
    <n v="713"/>
    <x v="3"/>
    <n v="1"/>
    <s v="Default"/>
    <n v="3"/>
    <n v="11319.49"/>
    <s v="High Income"/>
    <s v="Self-employed"/>
    <s v="With Loan"/>
    <s v="Low-Risk"/>
  </r>
  <r>
    <s v="T000164"/>
    <s v="C1698"/>
    <s v="AC29482215"/>
    <x v="144"/>
    <x v="13"/>
    <x v="11"/>
    <x v="2"/>
    <n v="9710.59"/>
    <x v="0"/>
    <n v="35166.5"/>
    <s v="Medium"/>
    <x v="0"/>
    <n v="27"/>
    <x v="0"/>
    <s v="Male"/>
    <s v="Checking"/>
    <x v="147"/>
    <s v="EUR"/>
    <x v="2"/>
    <n v="2.4500000000000001E-2"/>
    <n v="2.4500000000000002"/>
    <s v="low"/>
    <n v="26681.654999999999"/>
    <n v="653.70054749999997"/>
    <n v="13"/>
    <n v="826"/>
    <x v="1"/>
    <n v="2"/>
    <s v="Good"/>
    <n v="5"/>
    <n v="9555.41"/>
    <s v="High Income"/>
    <s v="Unemployed"/>
    <s v="Without Loan"/>
    <s v="Low-Risk"/>
  </r>
  <r>
    <s v="T000165"/>
    <s v="C5737"/>
    <s v="AC67696034"/>
    <x v="145"/>
    <x v="14"/>
    <x v="6"/>
    <x v="2"/>
    <n v="2700.49"/>
    <x v="0"/>
    <n v="37879.279999999999"/>
    <s v="Medium"/>
    <x v="3"/>
    <n v="29"/>
    <x v="0"/>
    <s v="Female"/>
    <s v="Credit"/>
    <x v="148"/>
    <s v="USD"/>
    <x v="0"/>
    <n v="1.8499999999999999E-2"/>
    <n v="1.85"/>
    <s v="low"/>
    <n v="26681.654999999999"/>
    <n v="493.61061749999993"/>
    <n v="13"/>
    <n v="730"/>
    <x v="3"/>
    <n v="1"/>
    <s v="Default"/>
    <n v="3"/>
    <n v="14463.07"/>
    <s v="High Income"/>
    <s v="Employed"/>
    <s v="Without Loan"/>
    <s v="Low-Risk"/>
  </r>
  <r>
    <s v="T000166"/>
    <s v="C1854"/>
    <s v="AC38356738"/>
    <x v="146"/>
    <x v="28"/>
    <x v="1"/>
    <x v="3"/>
    <n v="2788.53"/>
    <x v="0"/>
    <n v="23787.71"/>
    <s v="Medium"/>
    <x v="1"/>
    <n v="55"/>
    <x v="2"/>
    <s v="Male"/>
    <s v="Checking"/>
    <x v="149"/>
    <s v="USD"/>
    <x v="2"/>
    <n v="2.5399999999999999E-2"/>
    <n v="2.54"/>
    <s v="low"/>
    <n v="45253.55"/>
    <n v="1149.4401700000001"/>
    <n v="13"/>
    <n v="678"/>
    <x v="3"/>
    <n v="2"/>
    <s v="Good"/>
    <n v="3"/>
    <n v="2278.7199999999998"/>
    <s v="Low Income"/>
    <s v="Employed"/>
    <s v="With Loan"/>
    <s v="Low-Risk"/>
  </r>
  <r>
    <s v="T000167"/>
    <s v="C9164"/>
    <s v="AC75564145"/>
    <x v="147"/>
    <x v="24"/>
    <x v="0"/>
    <x v="1"/>
    <n v="4781.68"/>
    <x v="0"/>
    <n v="43834.36"/>
    <s v="Medium"/>
    <x v="2"/>
    <n v="61"/>
    <x v="3"/>
    <s v="Female"/>
    <s v="Checking"/>
    <x v="150"/>
    <s v="USD"/>
    <x v="0"/>
    <n v="3.9600000000000003E-2"/>
    <n v="3.96"/>
    <s v="low"/>
    <n v="26681.654999999999"/>
    <n v="1056.5935380000001"/>
    <n v="13"/>
    <n v="727"/>
    <x v="3"/>
    <n v="1"/>
    <s v="Default"/>
    <n v="3"/>
    <n v="11602.48"/>
    <s v="High Income"/>
    <s v="Employed"/>
    <s v="Without Loan"/>
    <s v="Low-Risk"/>
  </r>
  <r>
    <s v="T000168"/>
    <s v="C6855"/>
    <s v="AC88021860"/>
    <x v="148"/>
    <x v="12"/>
    <x v="8"/>
    <x v="3"/>
    <n v="9840.02"/>
    <x v="1"/>
    <n v="10968.39"/>
    <s v="Medium"/>
    <x v="0"/>
    <n v="63"/>
    <x v="3"/>
    <s v="Male"/>
    <s v="Checking"/>
    <x v="151"/>
    <s v="GBP"/>
    <x v="2"/>
    <n v="2.6700000000000002E-2"/>
    <n v="2.67"/>
    <s v="low"/>
    <n v="26681.654999999999"/>
    <n v="712.40018850000001"/>
    <n v="13"/>
    <n v="383"/>
    <x v="0"/>
    <n v="2"/>
    <s v="Good"/>
    <n v="1"/>
    <n v="14464.23"/>
    <s v="High Income"/>
    <s v="Self-employed"/>
    <s v="Without Loan"/>
    <s v="Low-Risk"/>
  </r>
  <r>
    <s v="T000169"/>
    <s v="C8392"/>
    <s v="AC20047595"/>
    <x v="86"/>
    <x v="1"/>
    <x v="10"/>
    <x v="3"/>
    <n v="2762.69"/>
    <x v="1"/>
    <n v="7241.93"/>
    <s v="Low"/>
    <x v="4"/>
    <n v="51"/>
    <x v="2"/>
    <s v="Male"/>
    <s v="Checking"/>
    <x v="152"/>
    <s v="GBP"/>
    <x v="1"/>
    <n v="3.95E-2"/>
    <n v="3.95"/>
    <s v="low"/>
    <n v="26681.654999999999"/>
    <n v="1053.9253724999999"/>
    <n v="12"/>
    <n v="491"/>
    <x v="0"/>
    <n v="0"/>
    <s v="Good"/>
    <n v="1"/>
    <n v="13209.53"/>
    <s v="High Income"/>
    <s v="Unemployed"/>
    <s v="Without Loan"/>
    <s v="Low-Risk"/>
  </r>
  <r>
    <s v="T000170"/>
    <s v="C7528"/>
    <s v="AC40908587"/>
    <x v="149"/>
    <x v="22"/>
    <x v="5"/>
    <x v="3"/>
    <n v="4129.0200000000004"/>
    <x v="1"/>
    <n v="14989.93"/>
    <s v="Medium"/>
    <x v="3"/>
    <n v="58"/>
    <x v="2"/>
    <s v="Female"/>
    <s v="Checking"/>
    <x v="153"/>
    <s v="EUR"/>
    <x v="1"/>
    <n v="1.4500000000000001E-2"/>
    <n v="1.45"/>
    <s v="low"/>
    <n v="18691.080000000002"/>
    <n v="271.02066000000002"/>
    <n v="25"/>
    <n v="340"/>
    <x v="0"/>
    <n v="0"/>
    <s v="Good"/>
    <n v="1"/>
    <n v="4182.6000000000004"/>
    <s v="Middle Income"/>
    <s v="Self-employed"/>
    <s v="With Loan"/>
    <s v="Low-Risk"/>
  </r>
  <r>
    <s v="T000171"/>
    <s v="C6249"/>
    <s v="AC32564965"/>
    <x v="150"/>
    <x v="16"/>
    <x v="0"/>
    <x v="1"/>
    <n v="8925.65"/>
    <x v="0"/>
    <n v="27047.29"/>
    <s v="Medium"/>
    <x v="2"/>
    <n v="27"/>
    <x v="0"/>
    <s v="Female"/>
    <s v="Credit"/>
    <x v="154"/>
    <s v="USD"/>
    <x v="1"/>
    <n v="4.2200000000000001E-2"/>
    <n v="4.22"/>
    <s v="high"/>
    <n v="26681.654999999999"/>
    <n v="1125.965841"/>
    <n v="9"/>
    <n v="608"/>
    <x v="2"/>
    <n v="0"/>
    <s v="Good"/>
    <n v="2"/>
    <n v="6248.66"/>
    <s v="High Income"/>
    <s v="Unemployed"/>
    <s v="Without Loan"/>
    <s v="Low-Risk"/>
  </r>
  <r>
    <s v="T000172"/>
    <s v="C6172"/>
    <s v="AC50131083"/>
    <x v="151"/>
    <x v="18"/>
    <x v="7"/>
    <x v="0"/>
    <n v="128.91999999999999"/>
    <x v="0"/>
    <n v="26017.53"/>
    <s v="Medium"/>
    <x v="3"/>
    <n v="34"/>
    <x v="0"/>
    <s v="Female"/>
    <s v="Savings"/>
    <x v="155"/>
    <s v="GBP"/>
    <x v="0"/>
    <n v="2.01E-2"/>
    <n v="2.0099999999999998"/>
    <s v="low"/>
    <n v="26681.654999999999"/>
    <n v="536.3012655"/>
    <n v="13"/>
    <n v="677"/>
    <x v="3"/>
    <n v="1"/>
    <s v="Default"/>
    <n v="3"/>
    <n v="4241.87"/>
    <s v="Middle Income"/>
    <s v="Self-employed"/>
    <s v="Without Loan"/>
    <s v="Low-Risk"/>
  </r>
  <r>
    <s v="T000173"/>
    <s v="C2707"/>
    <s v="AC83976082"/>
    <x v="31"/>
    <x v="17"/>
    <x v="8"/>
    <x v="3"/>
    <n v="493.68"/>
    <x v="0"/>
    <n v="41209.339999999997"/>
    <s v="Medium"/>
    <x v="1"/>
    <n v="34"/>
    <x v="0"/>
    <s v="Female"/>
    <s v="Credit"/>
    <x v="156"/>
    <s v="GBP"/>
    <x v="1"/>
    <n v="0.02"/>
    <n v="0.02"/>
    <s v="low"/>
    <n v="46679.37"/>
    <n v="933.58740000000012"/>
    <n v="13"/>
    <n v="435"/>
    <x v="0"/>
    <n v="0"/>
    <s v="Good"/>
    <n v="1"/>
    <n v="9817.01"/>
    <s v="High Income"/>
    <s v="Employed"/>
    <s v="With Loan"/>
    <s v="High-Risk"/>
  </r>
  <r>
    <s v="T000174"/>
    <s v="C6791"/>
    <s v="AC19004644"/>
    <x v="75"/>
    <x v="26"/>
    <x v="7"/>
    <x v="1"/>
    <n v="6080.31"/>
    <x v="0"/>
    <n v="20823.86"/>
    <s v="Medium"/>
    <x v="4"/>
    <n v="20"/>
    <x v="4"/>
    <s v="Female"/>
    <s v="Credit"/>
    <x v="157"/>
    <s v="USD"/>
    <x v="2"/>
    <n v="3.3599999999999998E-2"/>
    <n v="3.36"/>
    <s v="low"/>
    <n v="8979.69"/>
    <n v="301.71758399999999"/>
    <n v="26"/>
    <n v="405"/>
    <x v="0"/>
    <n v="2"/>
    <s v="Good"/>
    <n v="1"/>
    <n v="11258.44"/>
    <s v="High Income"/>
    <s v="Unemployed"/>
    <s v="With Loan"/>
    <s v="Low-Risk"/>
  </r>
  <r>
    <s v="T000175"/>
    <s v="C6535"/>
    <s v="AC57517690"/>
    <x v="152"/>
    <x v="17"/>
    <x v="2"/>
    <x v="0"/>
    <n v="9083.06"/>
    <x v="0"/>
    <n v="24732.880000000001"/>
    <s v="Medium"/>
    <x v="3"/>
    <n v="48"/>
    <x v="2"/>
    <s v="Female"/>
    <s v="Credit"/>
    <x v="158"/>
    <s v="GBP"/>
    <x v="0"/>
    <n v="1.2800000000000001E-2"/>
    <n v="1.28"/>
    <s v="low"/>
    <n v="26681.654999999999"/>
    <n v="341.52518400000002"/>
    <n v="25"/>
    <n v="818"/>
    <x v="1"/>
    <n v="1"/>
    <s v="Default"/>
    <n v="5"/>
    <n v="6121.96"/>
    <s v="High Income"/>
    <s v="Self-employed"/>
    <s v="Without Loan"/>
    <s v="Low-Risk"/>
  </r>
  <r>
    <s v="T000176"/>
    <s v="C5931"/>
    <s v="AC60760636"/>
    <x v="153"/>
    <x v="25"/>
    <x v="3"/>
    <x v="3"/>
    <n v="2464.6799999999998"/>
    <x v="1"/>
    <n v="1655.02"/>
    <s v="Low"/>
    <x v="0"/>
    <n v="68"/>
    <x v="3"/>
    <s v="Male"/>
    <s v="Credit"/>
    <x v="132"/>
    <s v="USD"/>
    <x v="2"/>
    <n v="1.11E-2"/>
    <n v="1.1100000000000001"/>
    <s v="low"/>
    <n v="26681.654999999999"/>
    <n v="296.16637050000003"/>
    <n v="5"/>
    <n v="841"/>
    <x v="1"/>
    <n v="2"/>
    <s v="Good"/>
    <n v="5"/>
    <n v="9013.59"/>
    <s v="High Income"/>
    <s v="Unemployed"/>
    <s v="Without Loan"/>
    <s v="Low-Risk"/>
  </r>
  <r>
    <s v="T000177"/>
    <s v="C4510"/>
    <s v="AC47639184"/>
    <x v="154"/>
    <x v="30"/>
    <x v="1"/>
    <x v="2"/>
    <n v="4749.45"/>
    <x v="0"/>
    <n v="21077.22"/>
    <s v="Medium"/>
    <x v="4"/>
    <n v="18"/>
    <x v="4"/>
    <s v="Female"/>
    <s v="Savings"/>
    <x v="159"/>
    <s v="EUR"/>
    <x v="0"/>
    <n v="2.0400000000000001E-2"/>
    <n v="2.04"/>
    <s v="low"/>
    <n v="7429.97"/>
    <n v="151.57138800000001"/>
    <n v="13"/>
    <n v="425"/>
    <x v="0"/>
    <n v="1"/>
    <s v="Default"/>
    <n v="1"/>
    <n v="10981.97"/>
    <s v="High Income"/>
    <s v="Unemployed"/>
    <s v="With Loan"/>
    <s v="Low-Risk"/>
  </r>
  <r>
    <s v="T000178"/>
    <s v="C1202"/>
    <s v="AC64706505"/>
    <x v="155"/>
    <x v="17"/>
    <x v="10"/>
    <x v="0"/>
    <n v="4559.6099999999997"/>
    <x v="0"/>
    <n v="32740.94"/>
    <s v="Medium"/>
    <x v="0"/>
    <n v="29"/>
    <x v="0"/>
    <s v="Male"/>
    <s v="Credit"/>
    <x v="80"/>
    <s v="EUR"/>
    <x v="2"/>
    <n v="3.15E-2"/>
    <n v="3.15"/>
    <s v="low"/>
    <n v="21214.45"/>
    <n v="668.25517500000001"/>
    <n v="5"/>
    <n v="656"/>
    <x v="2"/>
    <n v="2"/>
    <s v="Good"/>
    <n v="2"/>
    <n v="7477.42"/>
    <s v="High Income"/>
    <s v="Self-employed"/>
    <s v="With Loan"/>
    <s v="Low-Risk"/>
  </r>
  <r>
    <s v="T000179"/>
    <s v="C5218"/>
    <s v="AC23143608"/>
    <x v="83"/>
    <x v="14"/>
    <x v="11"/>
    <x v="3"/>
    <n v="4782.42"/>
    <x v="1"/>
    <n v="1759.91"/>
    <s v="Low"/>
    <x v="3"/>
    <n v="56"/>
    <x v="2"/>
    <s v="Male"/>
    <s v="Checking"/>
    <x v="160"/>
    <s v="EUR"/>
    <x v="2"/>
    <n v="4.6300000000000001E-2"/>
    <n v="4.63"/>
    <s v="high"/>
    <n v="41591.449999999997"/>
    <n v="1925.684135"/>
    <n v="12"/>
    <n v="699"/>
    <x v="3"/>
    <n v="2"/>
    <s v="Good"/>
    <n v="3"/>
    <n v="13102.2"/>
    <s v="High Income"/>
    <s v="Self-employed"/>
    <s v="With Loan"/>
    <s v="Low-Risk"/>
  </r>
  <r>
    <s v="T000180"/>
    <s v="C9958"/>
    <s v="AC46532022"/>
    <x v="156"/>
    <x v="25"/>
    <x v="9"/>
    <x v="0"/>
    <n v="6262.94"/>
    <x v="1"/>
    <n v="14763.22"/>
    <s v="Medium"/>
    <x v="4"/>
    <n v="21"/>
    <x v="4"/>
    <s v="Female"/>
    <s v="Credit"/>
    <x v="161"/>
    <s v="USD"/>
    <x v="0"/>
    <n v="4.3900000000000002E-2"/>
    <n v="4.3899999999999997"/>
    <s v="high"/>
    <n v="32520.94"/>
    <n v="1427.6692659999999"/>
    <n v="24"/>
    <n v="378"/>
    <x v="0"/>
    <n v="1"/>
    <s v="Default"/>
    <n v="1"/>
    <n v="12030.15"/>
    <s v="High Income"/>
    <s v="Unemployed"/>
    <s v="With Loan"/>
    <s v="Low-Risk"/>
  </r>
  <r>
    <s v="T000181"/>
    <s v="C5389"/>
    <s v="AC55745469"/>
    <x v="157"/>
    <x v="26"/>
    <x v="1"/>
    <x v="0"/>
    <n v="4750.46"/>
    <x v="1"/>
    <n v="11189.86"/>
    <s v="Medium"/>
    <x v="0"/>
    <n v="59"/>
    <x v="2"/>
    <s v="Male"/>
    <s v="Credit"/>
    <x v="162"/>
    <s v="GBP"/>
    <x v="0"/>
    <n v="2.9600000000000001E-2"/>
    <n v="2.96"/>
    <s v="low"/>
    <n v="26681.654999999999"/>
    <n v="789.77698799999996"/>
    <n v="13"/>
    <n v="688"/>
    <x v="3"/>
    <n v="1"/>
    <s v="Default"/>
    <n v="3"/>
    <n v="2840.65"/>
    <s v="Low Income"/>
    <s v="Unemployed"/>
    <s v="Without Loan"/>
    <s v="Low-Risk"/>
  </r>
  <r>
    <s v="T000182"/>
    <s v="C3327"/>
    <s v="AC98780367"/>
    <x v="158"/>
    <x v="5"/>
    <x v="6"/>
    <x v="0"/>
    <n v="4529.93"/>
    <x v="1"/>
    <n v="3057.29"/>
    <s v="Low"/>
    <x v="1"/>
    <n v="30"/>
    <x v="0"/>
    <s v="Male"/>
    <s v="Savings"/>
    <x v="163"/>
    <s v="EUR"/>
    <x v="1"/>
    <n v="1.15E-2"/>
    <n v="1.1499999999999999"/>
    <s v="low"/>
    <n v="37356.5"/>
    <n v="429.59974999999997"/>
    <n v="20"/>
    <n v="834"/>
    <x v="1"/>
    <n v="0"/>
    <s v="Good"/>
    <n v="5"/>
    <n v="10074.629999999999"/>
    <s v="High Income"/>
    <s v="Employed"/>
    <s v="With Loan"/>
    <s v="Low-Risk"/>
  </r>
  <r>
    <s v="T000183"/>
    <s v="C9004"/>
    <s v="AC46045138"/>
    <x v="159"/>
    <x v="13"/>
    <x v="1"/>
    <x v="0"/>
    <n v="4795.46"/>
    <x v="0"/>
    <n v="24483.74"/>
    <s v="Medium"/>
    <x v="1"/>
    <n v="51"/>
    <x v="2"/>
    <s v="Female"/>
    <s v="Savings"/>
    <x v="124"/>
    <s v="EUR"/>
    <x v="1"/>
    <n v="3.1399999999999997E-2"/>
    <n v="3.14"/>
    <s v="low"/>
    <n v="26681.654999999999"/>
    <n v="837.80396699999994"/>
    <n v="9"/>
    <n v="373"/>
    <x v="0"/>
    <n v="0"/>
    <s v="Good"/>
    <n v="1"/>
    <n v="5059.2299999999996"/>
    <s v="High Income"/>
    <s v="Unemployed"/>
    <s v="Without Loan"/>
    <s v="Low-Risk"/>
  </r>
  <r>
    <s v="T000184"/>
    <s v="C3931"/>
    <s v="AC67874183"/>
    <x v="160"/>
    <x v="3"/>
    <x v="3"/>
    <x v="0"/>
    <n v="5949.59"/>
    <x v="1"/>
    <n v="9904.44"/>
    <s v="Low"/>
    <x v="3"/>
    <n v="59"/>
    <x v="2"/>
    <s v="Female"/>
    <s v="Checking"/>
    <x v="108"/>
    <s v="EUR"/>
    <x v="2"/>
    <n v="3.8199999999999998E-2"/>
    <n v="3.82"/>
    <s v="low"/>
    <n v="26681.654999999999"/>
    <n v="1019.2392209999999"/>
    <n v="13"/>
    <n v="304"/>
    <x v="0"/>
    <n v="2"/>
    <s v="Good"/>
    <n v="1"/>
    <n v="9247.74"/>
    <s v="High Income"/>
    <s v="Employed"/>
    <s v="Without Loan"/>
    <s v="Low-Risk"/>
  </r>
  <r>
    <s v="T000185"/>
    <s v="C8777"/>
    <s v="AC69912158"/>
    <x v="108"/>
    <x v="7"/>
    <x v="2"/>
    <x v="0"/>
    <n v="5416.37"/>
    <x v="0"/>
    <n v="37411"/>
    <s v="Medium"/>
    <x v="4"/>
    <n v="38"/>
    <x v="1"/>
    <s v="Female"/>
    <s v="Credit"/>
    <x v="164"/>
    <s v="GBP"/>
    <x v="2"/>
    <n v="2.3599999999999999E-2"/>
    <n v="2.36"/>
    <s v="low"/>
    <n v="26681.654999999999"/>
    <n v="629.68705799999998"/>
    <n v="13"/>
    <n v="762"/>
    <x v="4"/>
    <n v="2"/>
    <s v="Good"/>
    <n v="4"/>
    <n v="14439.55"/>
    <s v="High Income"/>
    <s v="Employed"/>
    <s v="Without Loan"/>
    <s v="Low-Risk"/>
  </r>
  <r>
    <s v="T000186"/>
    <s v="C1197"/>
    <s v="AC48808656"/>
    <x v="161"/>
    <x v="9"/>
    <x v="6"/>
    <x v="3"/>
    <n v="8555.9500000000007"/>
    <x v="0"/>
    <n v="42548.47"/>
    <s v="Medium"/>
    <x v="2"/>
    <n v="39"/>
    <x v="1"/>
    <s v="Male"/>
    <s v="Credit"/>
    <x v="165"/>
    <s v="GBP"/>
    <x v="2"/>
    <n v="1.44E-2"/>
    <n v="1.44"/>
    <s v="low"/>
    <n v="7185.5"/>
    <n v="103.4712"/>
    <n v="13"/>
    <n v="381"/>
    <x v="0"/>
    <n v="2"/>
    <s v="Good"/>
    <n v="1"/>
    <n v="13427.81"/>
    <s v="High Income"/>
    <s v="Employed"/>
    <s v="With Loan"/>
    <s v="Low-Risk"/>
  </r>
  <r>
    <s v="T000187"/>
    <s v="C8125"/>
    <s v="AC20880726"/>
    <x v="143"/>
    <x v="11"/>
    <x v="0"/>
    <x v="2"/>
    <n v="590.02"/>
    <x v="0"/>
    <n v="27733.67"/>
    <s v="Medium"/>
    <x v="4"/>
    <n v="21"/>
    <x v="4"/>
    <s v="Female"/>
    <s v="Credit"/>
    <x v="166"/>
    <s v="USD"/>
    <x v="0"/>
    <n v="2.1100000000000001E-2"/>
    <n v="2.11"/>
    <s v="low"/>
    <n v="32167.7"/>
    <n v="678.73847000000001"/>
    <n v="13"/>
    <n v="836"/>
    <x v="1"/>
    <n v="1"/>
    <s v="Default"/>
    <n v="5"/>
    <n v="7258.71"/>
    <s v="High Income"/>
    <s v="Unemployed"/>
    <s v="With Loan"/>
    <s v="Low-Risk"/>
  </r>
  <r>
    <s v="T000188"/>
    <s v="C2930"/>
    <s v="AC32992356"/>
    <x v="162"/>
    <x v="26"/>
    <x v="9"/>
    <x v="1"/>
    <n v="8349.84"/>
    <x v="0"/>
    <n v="49103.66"/>
    <s v="Medium"/>
    <x v="1"/>
    <n v="35"/>
    <x v="0"/>
    <s v="Female"/>
    <s v="Checking"/>
    <x v="167"/>
    <s v="EUR"/>
    <x v="0"/>
    <n v="4.0899999999999999E-2"/>
    <n v="4.09"/>
    <s v="high"/>
    <n v="26681.654999999999"/>
    <n v="1091.2796894999999"/>
    <n v="13"/>
    <n v="704"/>
    <x v="3"/>
    <n v="1"/>
    <s v="Default"/>
    <n v="3"/>
    <n v="5789.68"/>
    <s v="High Income"/>
    <s v="Employed"/>
    <s v="Without Loan"/>
    <s v="Low-Risk"/>
  </r>
  <r>
    <s v="T000189"/>
    <s v="C7287"/>
    <s v="AC30515189"/>
    <x v="163"/>
    <x v="28"/>
    <x v="7"/>
    <x v="0"/>
    <n v="8454.85"/>
    <x v="0"/>
    <n v="23073.45"/>
    <s v="Medium"/>
    <x v="0"/>
    <n v="22"/>
    <x v="4"/>
    <s v="Female"/>
    <s v="Savings"/>
    <x v="168"/>
    <s v="GBP"/>
    <x v="1"/>
    <n v="2.4E-2"/>
    <n v="2.4E-2"/>
    <s v="low"/>
    <n v="26681.654999999999"/>
    <n v="640.35972000000004"/>
    <n v="23"/>
    <n v="813"/>
    <x v="1"/>
    <n v="0"/>
    <s v="Good"/>
    <n v="5"/>
    <n v="5047.2700000000004"/>
    <s v="High Income"/>
    <s v="Unemployed"/>
    <s v="Without Loan"/>
    <s v="Low-Risk"/>
  </r>
  <r>
    <s v="T000190"/>
    <s v="C9800"/>
    <s v="AC62534223"/>
    <x v="164"/>
    <x v="23"/>
    <x v="10"/>
    <x v="1"/>
    <n v="2920.59"/>
    <x v="0"/>
    <n v="26155.040000000001"/>
    <s v="Medium"/>
    <x v="2"/>
    <n v="36"/>
    <x v="1"/>
    <s v="Female"/>
    <s v="Checking"/>
    <x v="169"/>
    <s v="USD"/>
    <x v="2"/>
    <n v="4.2500000000000003E-2"/>
    <n v="4.25"/>
    <s v="high"/>
    <n v="26681.654999999999"/>
    <n v="1133.9703375000001"/>
    <n v="11"/>
    <n v="577"/>
    <x v="0"/>
    <n v="2"/>
    <s v="Good"/>
    <n v="1"/>
    <n v="8922.69"/>
    <s v="High Income"/>
    <s v="Unemployed"/>
    <s v="Without Loan"/>
    <s v="Low-Risk"/>
  </r>
  <r>
    <s v="T000191"/>
    <s v="C5282"/>
    <s v="AC33388869"/>
    <x v="165"/>
    <x v="29"/>
    <x v="8"/>
    <x v="3"/>
    <n v="4682.2299999999996"/>
    <x v="0"/>
    <n v="49471.67"/>
    <s v="Medium"/>
    <x v="3"/>
    <n v="19"/>
    <x v="4"/>
    <s v="Male"/>
    <s v="Credit"/>
    <x v="170"/>
    <s v="EUR"/>
    <x v="1"/>
    <n v="2.2800000000000001E-2"/>
    <n v="2.2799999999999998"/>
    <s v="low"/>
    <n v="26681.654999999999"/>
    <n v="608.34173399999997"/>
    <n v="13"/>
    <n v="523"/>
    <x v="0"/>
    <n v="0"/>
    <s v="Good"/>
    <n v="1"/>
    <n v="3485.23"/>
    <s v="Middle Income"/>
    <s v="Self-employed"/>
    <s v="Without Loan"/>
    <s v="Low-Risk"/>
  </r>
  <r>
    <s v="T000192"/>
    <s v="C3511"/>
    <s v="AC60795719"/>
    <x v="166"/>
    <x v="27"/>
    <x v="0"/>
    <x v="0"/>
    <n v="4441.53"/>
    <x v="1"/>
    <n v="12345.87"/>
    <s v="Medium"/>
    <x v="2"/>
    <n v="29"/>
    <x v="0"/>
    <s v="Female"/>
    <s v="Savings"/>
    <x v="111"/>
    <s v="GBP"/>
    <x v="0"/>
    <n v="1.6500000000000001E-2"/>
    <n v="1.65"/>
    <s v="low"/>
    <n v="26681.654999999999"/>
    <n v="440.24730749999998"/>
    <n v="13"/>
    <n v="367"/>
    <x v="0"/>
    <n v="1"/>
    <s v="Default"/>
    <n v="1"/>
    <n v="9140.58"/>
    <s v="High Income"/>
    <s v="Unemployed"/>
    <s v="Without Loan"/>
    <s v="Low-Risk"/>
  </r>
  <r>
    <s v="T000193"/>
    <s v="C1659"/>
    <s v="AC98798296"/>
    <x v="122"/>
    <x v="10"/>
    <x v="8"/>
    <x v="2"/>
    <n v="2263.25"/>
    <x v="0"/>
    <n v="47184.75"/>
    <s v="Medium"/>
    <x v="3"/>
    <n v="34"/>
    <x v="0"/>
    <s v="Male"/>
    <s v="Savings"/>
    <x v="171"/>
    <s v="GBP"/>
    <x v="0"/>
    <n v="2.7400000000000001E-2"/>
    <n v="2.74"/>
    <s v="low"/>
    <n v="35024.6"/>
    <n v="959.67403999999999"/>
    <n v="13"/>
    <n v="619"/>
    <x v="2"/>
    <n v="1"/>
    <s v="Default"/>
    <n v="2"/>
    <n v="2017.34"/>
    <s v="Low Income"/>
    <s v="Unemployed"/>
    <s v="With Loan"/>
    <s v="Low-Risk"/>
  </r>
  <r>
    <s v="T000194"/>
    <s v="C3811"/>
    <s v="AC20563214"/>
    <x v="167"/>
    <x v="26"/>
    <x v="1"/>
    <x v="1"/>
    <n v="4028.29"/>
    <x v="1"/>
    <n v="3099.04"/>
    <s v="Low"/>
    <x v="2"/>
    <n v="27"/>
    <x v="0"/>
    <s v="Female"/>
    <s v="Checking"/>
    <x v="172"/>
    <s v="USD"/>
    <x v="0"/>
    <n v="2.81E-2"/>
    <n v="2.81"/>
    <s v="low"/>
    <n v="49614.43"/>
    <n v="1394.165483"/>
    <n v="13"/>
    <n v="318"/>
    <x v="0"/>
    <n v="1"/>
    <s v="Default"/>
    <n v="1"/>
    <n v="6210.05"/>
    <s v="High Income"/>
    <s v="Employed"/>
    <s v="With Loan"/>
    <s v="High-Risk"/>
  </r>
  <r>
    <s v="T000195"/>
    <s v="C8098"/>
    <s v="AC34374842"/>
    <x v="4"/>
    <x v="4"/>
    <x v="2"/>
    <x v="0"/>
    <n v="539.44000000000005"/>
    <x v="0"/>
    <n v="22872.959999999999"/>
    <s v="Medium"/>
    <x v="3"/>
    <n v="51"/>
    <x v="2"/>
    <s v="Male"/>
    <s v="Savings"/>
    <x v="29"/>
    <s v="EUR"/>
    <x v="1"/>
    <n v="1.06E-2"/>
    <n v="1.06"/>
    <s v="low"/>
    <n v="37094.86"/>
    <n v="393.20551599999999"/>
    <n v="17"/>
    <n v="642"/>
    <x v="2"/>
    <n v="0"/>
    <s v="Good"/>
    <n v="2"/>
    <n v="4859.1499999999996"/>
    <s v="Middle Income"/>
    <s v="Unemployed"/>
    <s v="With Loan"/>
    <s v="Low-Risk"/>
  </r>
  <r>
    <s v="T000196"/>
    <s v="C7546"/>
    <s v="AC91252249"/>
    <x v="129"/>
    <x v="11"/>
    <x v="4"/>
    <x v="3"/>
    <n v="2850.44"/>
    <x v="1"/>
    <n v="4430.17"/>
    <s v="Low"/>
    <x v="3"/>
    <n v="23"/>
    <x v="4"/>
    <s v="Male"/>
    <s v="Savings"/>
    <x v="173"/>
    <s v="EUR"/>
    <x v="0"/>
    <n v="1.47E-2"/>
    <n v="1.47"/>
    <s v="low"/>
    <n v="26681.654999999999"/>
    <n v="392.22032849999999"/>
    <n v="7"/>
    <n v="642"/>
    <x v="2"/>
    <n v="1"/>
    <s v="Default"/>
    <n v="2"/>
    <n v="14625.84"/>
    <s v="High Income"/>
    <s v="Unemployed"/>
    <s v="Without Loan"/>
    <s v="Low-Risk"/>
  </r>
  <r>
    <s v="T000197"/>
    <s v="C2986"/>
    <s v="AC97384552"/>
    <x v="168"/>
    <x v="19"/>
    <x v="4"/>
    <x v="2"/>
    <n v="8185.15"/>
    <x v="0"/>
    <n v="36732.5"/>
    <s v="Medium"/>
    <x v="2"/>
    <n v="25"/>
    <x v="4"/>
    <s v="Male"/>
    <s v="Credit"/>
    <x v="7"/>
    <s v="GBP"/>
    <x v="2"/>
    <n v="1.7399999999999999E-2"/>
    <n v="1.74"/>
    <s v="low"/>
    <n v="26681.654999999999"/>
    <n v="464.26079699999997"/>
    <n v="13"/>
    <n v="396"/>
    <x v="0"/>
    <n v="2"/>
    <s v="Good"/>
    <n v="1"/>
    <n v="11454.15"/>
    <s v="High Income"/>
    <s v="Self-employed"/>
    <s v="Without Loan"/>
    <s v="Low-Risk"/>
  </r>
  <r>
    <s v="T000198"/>
    <s v="C9338"/>
    <s v="AC38172140"/>
    <x v="169"/>
    <x v="10"/>
    <x v="6"/>
    <x v="1"/>
    <n v="2917.17"/>
    <x v="0"/>
    <n v="30812.04"/>
    <s v="Medium"/>
    <x v="2"/>
    <n v="68"/>
    <x v="3"/>
    <s v="Female"/>
    <s v="Credit"/>
    <x v="174"/>
    <s v="EUR"/>
    <x v="1"/>
    <n v="1.4500000000000001E-2"/>
    <n v="1.45"/>
    <s v="low"/>
    <n v="35049.980000000003"/>
    <n v="508.22471000000007"/>
    <n v="13"/>
    <n v="351"/>
    <x v="0"/>
    <n v="0"/>
    <s v="Good"/>
    <n v="1"/>
    <n v="6545.49"/>
    <s v="High Income"/>
    <s v="Self-employed"/>
    <s v="With Loan"/>
    <s v="High-Risk"/>
  </r>
  <r>
    <s v="T000199"/>
    <s v="C3911"/>
    <s v="AC68701337"/>
    <x v="170"/>
    <x v="19"/>
    <x v="3"/>
    <x v="1"/>
    <n v="8200.25"/>
    <x v="0"/>
    <n v="35625.08"/>
    <s v="Medium"/>
    <x v="3"/>
    <n v="28"/>
    <x v="0"/>
    <s v="Male"/>
    <s v="Savings"/>
    <x v="175"/>
    <s v="USD"/>
    <x v="0"/>
    <n v="2.3699999999999999E-2"/>
    <n v="2.37"/>
    <s v="low"/>
    <n v="7670.22"/>
    <n v="181.78421399999999"/>
    <n v="13"/>
    <n v="474"/>
    <x v="0"/>
    <n v="1"/>
    <s v="Default"/>
    <n v="1"/>
    <n v="3206.99"/>
    <s v="Middle Income"/>
    <s v="Employed"/>
    <s v="With Loan"/>
    <s v="Low-Risk"/>
  </r>
  <r>
    <s v="T000200"/>
    <s v="C2734"/>
    <s v="AC45119150"/>
    <x v="142"/>
    <x v="12"/>
    <x v="2"/>
    <x v="0"/>
    <n v="5362.83"/>
    <x v="1"/>
    <n v="19349.54"/>
    <s v="Medium"/>
    <x v="1"/>
    <n v="29"/>
    <x v="0"/>
    <s v="Female"/>
    <s v="Savings"/>
    <x v="176"/>
    <s v="GBP"/>
    <x v="1"/>
    <n v="4.8599999999999997E-2"/>
    <n v="4.8600000000000003"/>
    <s v="high"/>
    <n v="26681.654999999999"/>
    <n v="1296.7284329999998"/>
    <n v="13"/>
    <n v="637"/>
    <x v="2"/>
    <n v="0"/>
    <s v="Good"/>
    <n v="2"/>
    <n v="8718.41"/>
    <s v="High Income"/>
    <s v="Employed"/>
    <s v="Without Loan"/>
    <s v="Low-Risk"/>
  </r>
  <r>
    <s v="T000201"/>
    <s v="C2843"/>
    <s v="AC65471391"/>
    <x v="171"/>
    <x v="15"/>
    <x v="10"/>
    <x v="2"/>
    <n v="8810.64"/>
    <x v="1"/>
    <n v="19104.61"/>
    <s v="Medium"/>
    <x v="2"/>
    <n v="26"/>
    <x v="0"/>
    <s v="Female"/>
    <s v="Checking"/>
    <x v="177"/>
    <s v="GBP"/>
    <x v="1"/>
    <n v="3.04E-2"/>
    <n v="3.04"/>
    <s v="low"/>
    <n v="44740.37"/>
    <n v="1360.107248"/>
    <n v="2"/>
    <n v="652"/>
    <x v="2"/>
    <n v="0"/>
    <s v="Good"/>
    <n v="2"/>
    <n v="4774.82"/>
    <s v="Middle Income"/>
    <s v="Self-employed"/>
    <s v="With Loan"/>
    <s v="Low-Risk"/>
  </r>
  <r>
    <s v="T000202"/>
    <s v="C9680"/>
    <s v="AC87632265"/>
    <x v="172"/>
    <x v="2"/>
    <x v="4"/>
    <x v="2"/>
    <n v="5790.32"/>
    <x v="1"/>
    <n v="3220.64"/>
    <s v="Low"/>
    <x v="4"/>
    <n v="19"/>
    <x v="4"/>
    <s v="Female"/>
    <s v="Checking"/>
    <x v="178"/>
    <s v="USD"/>
    <x v="0"/>
    <n v="3.5099999999999999E-2"/>
    <n v="3.51"/>
    <s v="low"/>
    <n v="30966.880000000001"/>
    <n v="1086.937488"/>
    <n v="13"/>
    <n v="690"/>
    <x v="3"/>
    <n v="1"/>
    <s v="Default"/>
    <n v="3"/>
    <n v="8973.58"/>
    <s v="High Income"/>
    <s v="Self-employed"/>
    <s v="With Loan"/>
    <s v="Low-Risk"/>
  </r>
  <r>
    <s v="T000203"/>
    <s v="C3976"/>
    <s v="AC91597126"/>
    <x v="65"/>
    <x v="3"/>
    <x v="2"/>
    <x v="2"/>
    <n v="393.72"/>
    <x v="1"/>
    <n v="18147.3"/>
    <s v="Medium"/>
    <x v="0"/>
    <n v="25"/>
    <x v="4"/>
    <s v="Female"/>
    <s v="Savings"/>
    <x v="82"/>
    <s v="GBP"/>
    <x v="0"/>
    <n v="2.4299999999999999E-2"/>
    <n v="2.4300000000000002"/>
    <s v="low"/>
    <n v="20930.88"/>
    <n v="508.620384"/>
    <n v="13"/>
    <n v="414"/>
    <x v="0"/>
    <n v="1"/>
    <s v="Default"/>
    <n v="1"/>
    <n v="12859.71"/>
    <s v="High Income"/>
    <s v="Unemployed"/>
    <s v="With Loan"/>
    <s v="Low-Risk"/>
  </r>
  <r>
    <s v="T000204"/>
    <s v="C2959"/>
    <s v="AC33387092"/>
    <x v="173"/>
    <x v="29"/>
    <x v="11"/>
    <x v="2"/>
    <n v="6786.66"/>
    <x v="0"/>
    <n v="46535.13"/>
    <s v="Medium"/>
    <x v="3"/>
    <n v="28"/>
    <x v="0"/>
    <s v="Female"/>
    <s v="Credit"/>
    <x v="179"/>
    <s v="EUR"/>
    <x v="1"/>
    <n v="2.29E-2"/>
    <n v="2.29"/>
    <s v="low"/>
    <n v="26681.654999999999"/>
    <n v="611.00989949999996"/>
    <n v="4"/>
    <n v="647"/>
    <x v="2"/>
    <n v="0"/>
    <s v="Good"/>
    <n v="2"/>
    <n v="10005.299999999999"/>
    <s v="High Income"/>
    <s v="Employed"/>
    <s v="Without Loan"/>
    <s v="Low-Risk"/>
  </r>
  <r>
    <s v="T000205"/>
    <s v="C6759"/>
    <s v="AC29156053"/>
    <x v="174"/>
    <x v="30"/>
    <x v="9"/>
    <x v="3"/>
    <n v="544.04999999999995"/>
    <x v="1"/>
    <n v="19582.099999999999"/>
    <s v="Medium"/>
    <x v="3"/>
    <n v="53"/>
    <x v="2"/>
    <s v="Male"/>
    <s v="Savings"/>
    <x v="180"/>
    <s v="EUR"/>
    <x v="1"/>
    <n v="1.09E-2"/>
    <n v="1.0900000000000001"/>
    <s v="low"/>
    <n v="26681.654999999999"/>
    <n v="290.8300395"/>
    <n v="13"/>
    <n v="300"/>
    <x v="0"/>
    <n v="0"/>
    <s v="Good"/>
    <n v="1"/>
    <n v="10239.25"/>
    <s v="High Income"/>
    <s v="Employed"/>
    <s v="Without Loan"/>
    <s v="Low-Risk"/>
  </r>
  <r>
    <s v="T000206"/>
    <s v="C7694"/>
    <s v="AC49678201"/>
    <x v="80"/>
    <x v="0"/>
    <x v="3"/>
    <x v="2"/>
    <n v="4560.91"/>
    <x v="0"/>
    <n v="41737.019999999997"/>
    <s v="Medium"/>
    <x v="0"/>
    <n v="27"/>
    <x v="0"/>
    <s v="Female"/>
    <s v="Savings"/>
    <x v="0"/>
    <s v="GBP"/>
    <x v="0"/>
    <n v="0.03"/>
    <n v="0.03"/>
    <s v="low"/>
    <n v="29488.2"/>
    <n v="884.64599999999996"/>
    <n v="24"/>
    <n v="362"/>
    <x v="0"/>
    <n v="1"/>
    <s v="Default"/>
    <n v="1"/>
    <n v="9033.39"/>
    <s v="High Income"/>
    <s v="Unemployed"/>
    <s v="With Loan"/>
    <s v="Low-Risk"/>
  </r>
  <r>
    <s v="T000207"/>
    <s v="C3385"/>
    <s v="AC11524102"/>
    <x v="175"/>
    <x v="23"/>
    <x v="4"/>
    <x v="1"/>
    <n v="9301.32"/>
    <x v="0"/>
    <n v="42273.95"/>
    <s v="Medium"/>
    <x v="1"/>
    <n v="38"/>
    <x v="1"/>
    <s v="Male"/>
    <s v="Credit"/>
    <x v="181"/>
    <s v="USD"/>
    <x v="2"/>
    <n v="2.93E-2"/>
    <n v="2.93"/>
    <s v="low"/>
    <n v="26681.654999999999"/>
    <n v="781.7724915"/>
    <n v="13"/>
    <n v="525"/>
    <x v="0"/>
    <n v="2"/>
    <s v="Good"/>
    <n v="1"/>
    <n v="14054.45"/>
    <s v="High Income"/>
    <s v="Unemployed"/>
    <s v="Without Loan"/>
    <s v="Low-Risk"/>
  </r>
  <r>
    <s v="T000208"/>
    <s v="C5736"/>
    <s v="AC21579149"/>
    <x v="176"/>
    <x v="26"/>
    <x v="2"/>
    <x v="1"/>
    <n v="1735.52"/>
    <x v="1"/>
    <n v="19288.82"/>
    <s v="Medium"/>
    <x v="0"/>
    <n v="37"/>
    <x v="1"/>
    <s v="Male"/>
    <s v="Credit"/>
    <x v="182"/>
    <s v="USD"/>
    <x v="1"/>
    <n v="1.6299999999999999E-2"/>
    <n v="1.63"/>
    <s v="low"/>
    <n v="16294.39"/>
    <n v="265.59855699999997"/>
    <n v="13"/>
    <n v="722"/>
    <x v="3"/>
    <n v="0"/>
    <s v="Good"/>
    <n v="3"/>
    <n v="14114.73"/>
    <s v="High Income"/>
    <s v="Employed"/>
    <s v="With Loan"/>
    <s v="Low-Risk"/>
  </r>
  <r>
    <s v="T000209"/>
    <s v="C2802"/>
    <s v="AC52607220"/>
    <x v="112"/>
    <x v="25"/>
    <x v="10"/>
    <x v="3"/>
    <n v="3959.74"/>
    <x v="0"/>
    <n v="31967.45"/>
    <s v="Medium"/>
    <x v="2"/>
    <n v="65"/>
    <x v="3"/>
    <s v="Male"/>
    <s v="Checking"/>
    <x v="183"/>
    <s v="EUR"/>
    <x v="1"/>
    <n v="4.0599999999999997E-2"/>
    <n v="4.0599999999999996"/>
    <s v="high"/>
    <n v="38231.78"/>
    <n v="1552.2102679999998"/>
    <n v="2"/>
    <n v="318"/>
    <x v="0"/>
    <n v="0"/>
    <s v="Good"/>
    <n v="1"/>
    <n v="8665.4"/>
    <s v="High Income"/>
    <s v="Self-employed"/>
    <s v="With Loan"/>
    <s v="High-Risk"/>
  </r>
  <r>
    <s v="T000210"/>
    <s v="C9155"/>
    <s v="AC62715014"/>
    <x v="99"/>
    <x v="21"/>
    <x v="11"/>
    <x v="1"/>
    <n v="7325.62"/>
    <x v="1"/>
    <n v="5673.21"/>
    <s v="Low"/>
    <x v="0"/>
    <n v="25"/>
    <x v="4"/>
    <s v="Male"/>
    <s v="Checking"/>
    <x v="184"/>
    <s v="USD"/>
    <x v="2"/>
    <n v="2.9700000000000001E-2"/>
    <n v="2.97"/>
    <s v="low"/>
    <n v="26681.654999999999"/>
    <n v="792.44515349999995"/>
    <n v="13"/>
    <n v="330"/>
    <x v="0"/>
    <n v="2"/>
    <s v="Good"/>
    <n v="1"/>
    <n v="5974.87"/>
    <s v="High Income"/>
    <s v="Self-employed"/>
    <s v="Without Loan"/>
    <s v="Low-Risk"/>
  </r>
  <r>
    <s v="T000211"/>
    <s v="C9120"/>
    <s v="AC79144712"/>
    <x v="177"/>
    <x v="29"/>
    <x v="0"/>
    <x v="1"/>
    <n v="8834.36"/>
    <x v="1"/>
    <n v="6080.25"/>
    <s v="Low"/>
    <x v="3"/>
    <n v="53"/>
    <x v="2"/>
    <s v="Male"/>
    <s v="Checking"/>
    <x v="185"/>
    <s v="GBP"/>
    <x v="0"/>
    <n v="2.3599999999999999E-2"/>
    <n v="2.36"/>
    <s v="low"/>
    <n v="26681.654999999999"/>
    <n v="629.68705799999998"/>
    <n v="4"/>
    <n v="323"/>
    <x v="0"/>
    <n v="1"/>
    <s v="Default"/>
    <n v="1"/>
    <n v="7974.63"/>
    <s v="High Income"/>
    <s v="Unemployed"/>
    <s v="Without Loan"/>
    <s v="Low-Risk"/>
  </r>
  <r>
    <s v="T000212"/>
    <s v="C7616"/>
    <s v="AC31900146"/>
    <x v="178"/>
    <x v="16"/>
    <x v="5"/>
    <x v="2"/>
    <n v="6742.34"/>
    <x v="1"/>
    <n v="3384.23"/>
    <s v="Low"/>
    <x v="0"/>
    <n v="46"/>
    <x v="2"/>
    <s v="Male"/>
    <s v="Checking"/>
    <x v="186"/>
    <s v="GBP"/>
    <x v="0"/>
    <n v="1.5900000000000001E-2"/>
    <n v="1.59"/>
    <s v="low"/>
    <n v="26681.654999999999"/>
    <n v="424.2383145"/>
    <n v="3"/>
    <n v="510"/>
    <x v="0"/>
    <n v="1"/>
    <s v="Default"/>
    <n v="1"/>
    <n v="4425.25"/>
    <s v="Middle Income"/>
    <s v="Employed"/>
    <s v="Without Loan"/>
    <s v="Low-Risk"/>
  </r>
  <r>
    <s v="T000213"/>
    <s v="C6534"/>
    <s v="AC87937327"/>
    <x v="48"/>
    <x v="24"/>
    <x v="3"/>
    <x v="1"/>
    <n v="2655.92"/>
    <x v="0"/>
    <n v="29469.74"/>
    <s v="Medium"/>
    <x v="4"/>
    <n v="59"/>
    <x v="2"/>
    <s v="Male"/>
    <s v="Credit"/>
    <x v="171"/>
    <s v="EUR"/>
    <x v="2"/>
    <n v="3.2099999999999997E-2"/>
    <n v="3.21"/>
    <s v="low"/>
    <n v="8493.43"/>
    <n v="272.63910299999998"/>
    <n v="17"/>
    <n v="460"/>
    <x v="0"/>
    <n v="2"/>
    <s v="Good"/>
    <n v="1"/>
    <n v="10272.48"/>
    <s v="High Income"/>
    <s v="Unemployed"/>
    <s v="With Loan"/>
    <s v="Low-Risk"/>
  </r>
  <r>
    <s v="T000214"/>
    <s v="C5061"/>
    <s v="AC19913841"/>
    <x v="39"/>
    <x v="11"/>
    <x v="3"/>
    <x v="3"/>
    <n v="6778.62"/>
    <x v="0"/>
    <n v="21877.48"/>
    <s v="Medium"/>
    <x v="2"/>
    <n v="29"/>
    <x v="0"/>
    <s v="Female"/>
    <s v="Savings"/>
    <x v="187"/>
    <s v="EUR"/>
    <x v="0"/>
    <n v="4.0099999999999997E-2"/>
    <n v="4.01"/>
    <s v="high"/>
    <n v="37105.79"/>
    <n v="1487.9421789999999"/>
    <n v="13"/>
    <n v="554"/>
    <x v="0"/>
    <n v="1"/>
    <s v="Default"/>
    <n v="1"/>
    <n v="8501.2000000000007"/>
    <s v="High Income"/>
    <s v="Self-employed"/>
    <s v="With Loan"/>
    <s v="High-Risk"/>
  </r>
  <r>
    <s v="T000215"/>
    <s v="C1262"/>
    <s v="AC76626362"/>
    <x v="179"/>
    <x v="4"/>
    <x v="6"/>
    <x v="2"/>
    <n v="3037.6"/>
    <x v="0"/>
    <n v="27853.59"/>
    <s v="Medium"/>
    <x v="0"/>
    <n v="31"/>
    <x v="0"/>
    <s v="Male"/>
    <s v="Checking"/>
    <x v="60"/>
    <s v="EUR"/>
    <x v="0"/>
    <n v="2.1299999999999999E-2"/>
    <n v="2.13"/>
    <s v="low"/>
    <n v="5160.99"/>
    <n v="109.929087"/>
    <n v="13"/>
    <n v="413"/>
    <x v="0"/>
    <n v="1"/>
    <s v="Default"/>
    <n v="1"/>
    <n v="3342.91"/>
    <s v="Middle Income"/>
    <s v="Self-employed"/>
    <s v="With Loan"/>
    <s v="Low-Risk"/>
  </r>
  <r>
    <s v="T000216"/>
    <s v="C7287"/>
    <s v="AC39061846"/>
    <x v="180"/>
    <x v="10"/>
    <x v="1"/>
    <x v="0"/>
    <n v="7212.45"/>
    <x v="0"/>
    <n v="26532.59"/>
    <s v="Medium"/>
    <x v="3"/>
    <n v="65"/>
    <x v="3"/>
    <s v="Female"/>
    <s v="Checking"/>
    <x v="188"/>
    <s v="USD"/>
    <x v="1"/>
    <n v="1.8800000000000001E-2"/>
    <n v="1.88"/>
    <s v="low"/>
    <n v="26681.654999999999"/>
    <n v="501.61511400000001"/>
    <n v="2"/>
    <n v="803"/>
    <x v="1"/>
    <n v="0"/>
    <s v="Good"/>
    <n v="5"/>
    <n v="4569.42"/>
    <s v="Middle Income"/>
    <s v="Unemployed"/>
    <s v="Without Loan"/>
    <s v="Low-Risk"/>
  </r>
  <r>
    <s v="T000217"/>
    <s v="C9815"/>
    <s v="AC70523996"/>
    <x v="181"/>
    <x v="6"/>
    <x v="6"/>
    <x v="2"/>
    <n v="9544.93"/>
    <x v="1"/>
    <n v="18159.95"/>
    <s v="Medium"/>
    <x v="2"/>
    <n v="67"/>
    <x v="3"/>
    <s v="Male"/>
    <s v="Credit"/>
    <x v="125"/>
    <s v="GBP"/>
    <x v="1"/>
    <n v="3.09E-2"/>
    <n v="3.09"/>
    <s v="low"/>
    <n v="5195.4799999999996"/>
    <n v="160.54033199999998"/>
    <n v="13"/>
    <n v="519"/>
    <x v="0"/>
    <n v="0"/>
    <s v="Good"/>
    <n v="1"/>
    <n v="8235.2199999999993"/>
    <s v="High Income"/>
    <s v="Self-employed"/>
    <s v="With Loan"/>
    <s v="Low-Risk"/>
  </r>
  <r>
    <s v="T000218"/>
    <s v="C3049"/>
    <s v="AC33468625"/>
    <x v="45"/>
    <x v="23"/>
    <x v="6"/>
    <x v="3"/>
    <n v="7241.8"/>
    <x v="0"/>
    <n v="34196.199999999997"/>
    <s v="Medium"/>
    <x v="3"/>
    <n v="38"/>
    <x v="1"/>
    <s v="Male"/>
    <s v="Credit"/>
    <x v="15"/>
    <s v="GBP"/>
    <x v="1"/>
    <n v="1.6199999999999999E-2"/>
    <n v="1.62"/>
    <s v="low"/>
    <n v="34039.379999999997"/>
    <n v="551.43795599999987"/>
    <n v="13"/>
    <n v="656"/>
    <x v="2"/>
    <n v="0"/>
    <s v="Good"/>
    <n v="2"/>
    <n v="13538.66"/>
    <s v="High Income"/>
    <s v="Employed"/>
    <s v="With Loan"/>
    <s v="Low-Risk"/>
  </r>
  <r>
    <s v="T000219"/>
    <s v="C6423"/>
    <s v="AC88566365"/>
    <x v="182"/>
    <x v="29"/>
    <x v="6"/>
    <x v="2"/>
    <n v="8642.52"/>
    <x v="0"/>
    <n v="38166.589999999997"/>
    <s v="Medium"/>
    <x v="1"/>
    <n v="39"/>
    <x v="1"/>
    <s v="Male"/>
    <s v="Savings"/>
    <x v="189"/>
    <s v="GBP"/>
    <x v="2"/>
    <n v="3.6700000000000003E-2"/>
    <n v="3.67"/>
    <s v="low"/>
    <n v="23782.42"/>
    <n v="872.81481400000007"/>
    <n v="13"/>
    <n v="468"/>
    <x v="0"/>
    <n v="2"/>
    <s v="Good"/>
    <n v="1"/>
    <n v="9363.08"/>
    <s v="High Income"/>
    <s v="Unemployed"/>
    <s v="With Loan"/>
    <s v="Low-Risk"/>
  </r>
  <r>
    <s v="T000220"/>
    <s v="C5548"/>
    <s v="AC13433382"/>
    <x v="183"/>
    <x v="8"/>
    <x v="9"/>
    <x v="2"/>
    <n v="120.83"/>
    <x v="1"/>
    <n v="1716.78"/>
    <s v="Low"/>
    <x v="4"/>
    <n v="38"/>
    <x v="1"/>
    <s v="Male"/>
    <s v="Savings"/>
    <x v="106"/>
    <s v="EUR"/>
    <x v="0"/>
    <n v="3.4200000000000001E-2"/>
    <n v="3.42"/>
    <s v="low"/>
    <n v="18389.599999999999"/>
    <n v="628.92431999999997"/>
    <n v="13"/>
    <n v="823"/>
    <x v="1"/>
    <n v="1"/>
    <s v="Default"/>
    <n v="5"/>
    <n v="10859.96"/>
    <s v="High Income"/>
    <s v="Unemployed"/>
    <s v="With Loan"/>
    <s v="Low-Risk"/>
  </r>
  <r>
    <s v="T000221"/>
    <s v="C4108"/>
    <s v="AC85779042"/>
    <x v="47"/>
    <x v="2"/>
    <x v="4"/>
    <x v="3"/>
    <n v="7203.96"/>
    <x v="1"/>
    <n v="11154.87"/>
    <s v="Medium"/>
    <x v="1"/>
    <n v="61"/>
    <x v="3"/>
    <s v="Female"/>
    <s v="Credit"/>
    <x v="190"/>
    <s v="GBP"/>
    <x v="0"/>
    <n v="1.35E-2"/>
    <n v="1.35"/>
    <s v="low"/>
    <n v="26681.654999999999"/>
    <n v="360.20234249999999"/>
    <n v="1"/>
    <n v="541"/>
    <x v="0"/>
    <n v="1"/>
    <s v="Default"/>
    <n v="1"/>
    <n v="6407.37"/>
    <s v="High Income"/>
    <s v="Unemployed"/>
    <s v="Without Loan"/>
    <s v="Low-Risk"/>
  </r>
  <r>
    <s v="T000222"/>
    <s v="C8158"/>
    <s v="AC38348817"/>
    <x v="184"/>
    <x v="19"/>
    <x v="1"/>
    <x v="2"/>
    <n v="8312.92"/>
    <x v="0"/>
    <n v="35948.559999999998"/>
    <s v="Medium"/>
    <x v="4"/>
    <n v="67"/>
    <x v="3"/>
    <s v="Female"/>
    <s v="Checking"/>
    <x v="191"/>
    <s v="USD"/>
    <x v="1"/>
    <n v="1.15E-2"/>
    <n v="1.1499999999999999"/>
    <s v="low"/>
    <n v="26681.654999999999"/>
    <n v="306.83903249999997"/>
    <n v="13"/>
    <n v="674"/>
    <x v="3"/>
    <n v="0"/>
    <s v="Good"/>
    <n v="3"/>
    <n v="9428.35"/>
    <s v="High Income"/>
    <s v="Self-employed"/>
    <s v="Without Loan"/>
    <s v="Low-Risk"/>
  </r>
  <r>
    <s v="T000223"/>
    <s v="C8400"/>
    <s v="AC80503913"/>
    <x v="185"/>
    <x v="15"/>
    <x v="1"/>
    <x v="3"/>
    <n v="501.53"/>
    <x v="1"/>
    <n v="19944.39"/>
    <s v="Medium"/>
    <x v="0"/>
    <n v="47"/>
    <x v="2"/>
    <s v="Female"/>
    <s v="Checking"/>
    <x v="192"/>
    <s v="USD"/>
    <x v="1"/>
    <n v="3.4799999999999998E-2"/>
    <n v="3.48"/>
    <s v="low"/>
    <n v="26681.654999999999"/>
    <n v="928.52159399999994"/>
    <n v="23"/>
    <n v="438"/>
    <x v="0"/>
    <n v="0"/>
    <s v="Good"/>
    <n v="1"/>
    <n v="7815.94"/>
    <s v="High Income"/>
    <s v="Employed"/>
    <s v="Without Loan"/>
    <s v="Low-Risk"/>
  </r>
  <r>
    <s v="T000224"/>
    <s v="C4170"/>
    <s v="AC93952230"/>
    <x v="134"/>
    <x v="7"/>
    <x v="2"/>
    <x v="3"/>
    <n v="8728.82"/>
    <x v="0"/>
    <n v="33461.71"/>
    <s v="Medium"/>
    <x v="2"/>
    <n v="56"/>
    <x v="2"/>
    <s v="Male"/>
    <s v="Checking"/>
    <x v="193"/>
    <s v="GBP"/>
    <x v="2"/>
    <n v="2.18E-2"/>
    <n v="2.1800000000000002"/>
    <s v="low"/>
    <n v="47314.03"/>
    <n v="1031.4458540000001"/>
    <n v="13"/>
    <n v="396"/>
    <x v="0"/>
    <n v="2"/>
    <s v="Good"/>
    <n v="1"/>
    <n v="10568.69"/>
    <s v="High Income"/>
    <s v="Unemployed"/>
    <s v="With Loan"/>
    <s v="High-Risk"/>
  </r>
  <r>
    <s v="T000225"/>
    <s v="C3255"/>
    <s v="AC34728848"/>
    <x v="115"/>
    <x v="15"/>
    <x v="2"/>
    <x v="0"/>
    <n v="2641.27"/>
    <x v="1"/>
    <n v="18001.169999999998"/>
    <s v="Medium"/>
    <x v="0"/>
    <n v="37"/>
    <x v="1"/>
    <s v="Male"/>
    <s v="Savings"/>
    <x v="194"/>
    <s v="EUR"/>
    <x v="0"/>
    <n v="1.35E-2"/>
    <n v="1.35"/>
    <s v="low"/>
    <n v="24219.8"/>
    <n v="326.96729999999997"/>
    <n v="13"/>
    <n v="446"/>
    <x v="0"/>
    <n v="1"/>
    <s v="Default"/>
    <n v="1"/>
    <n v="2657.48"/>
    <s v="Low Income"/>
    <s v="Unemployed"/>
    <s v="With Loan"/>
    <s v="Low-Risk"/>
  </r>
  <r>
    <s v="T000226"/>
    <s v="C2154"/>
    <s v="AC20822814"/>
    <x v="186"/>
    <x v="30"/>
    <x v="0"/>
    <x v="1"/>
    <n v="6686.39"/>
    <x v="0"/>
    <n v="20147"/>
    <s v="Medium"/>
    <x v="4"/>
    <n v="41"/>
    <x v="1"/>
    <s v="Male"/>
    <s v="Checking"/>
    <x v="108"/>
    <s v="GBP"/>
    <x v="2"/>
    <n v="4.0399999999999998E-2"/>
    <n v="4.04"/>
    <s v="high"/>
    <n v="29961.22"/>
    <n v="1210.4332879999999"/>
    <n v="13"/>
    <n v="481"/>
    <x v="0"/>
    <n v="2"/>
    <s v="Good"/>
    <n v="1"/>
    <n v="8412.9"/>
    <s v="High Income"/>
    <s v="Self-employed"/>
    <s v="With Loan"/>
    <s v="Low-Risk"/>
  </r>
  <r>
    <s v="T000227"/>
    <s v="C5499"/>
    <s v="AC99967767"/>
    <x v="187"/>
    <x v="29"/>
    <x v="9"/>
    <x v="1"/>
    <n v="8023.51"/>
    <x v="1"/>
    <n v="8775.26"/>
    <s v="Low"/>
    <x v="4"/>
    <n v="40"/>
    <x v="1"/>
    <s v="Female"/>
    <s v="Checking"/>
    <x v="195"/>
    <s v="USD"/>
    <x v="0"/>
    <n v="2.2599999999999999E-2"/>
    <n v="2.2599999999999998"/>
    <s v="low"/>
    <n v="26681.654999999999"/>
    <n v="603.00540299999989"/>
    <n v="29"/>
    <n v="356"/>
    <x v="0"/>
    <n v="1"/>
    <s v="Default"/>
    <n v="1"/>
    <n v="5847.9"/>
    <s v="High Income"/>
    <s v="Employed"/>
    <s v="Without Loan"/>
    <s v="Low-Risk"/>
  </r>
  <r>
    <s v="T000228"/>
    <s v="C7295"/>
    <s v="AC58356322"/>
    <x v="188"/>
    <x v="11"/>
    <x v="0"/>
    <x v="2"/>
    <n v="6660.38"/>
    <x v="1"/>
    <n v="13653.32"/>
    <s v="Medium"/>
    <x v="4"/>
    <n v="24"/>
    <x v="4"/>
    <s v="Male"/>
    <s v="Credit"/>
    <x v="196"/>
    <s v="USD"/>
    <x v="2"/>
    <n v="2.8400000000000002E-2"/>
    <n v="2.84"/>
    <s v="low"/>
    <n v="26681.654999999999"/>
    <n v="757.75900200000001"/>
    <n v="5"/>
    <n v="341"/>
    <x v="0"/>
    <n v="2"/>
    <s v="Good"/>
    <n v="1"/>
    <n v="6240.41"/>
    <s v="High Income"/>
    <s v="Unemployed"/>
    <s v="Without Loan"/>
    <s v="Low-Risk"/>
  </r>
  <r>
    <s v="T000229"/>
    <s v="C7197"/>
    <s v="AC62879148"/>
    <x v="189"/>
    <x v="18"/>
    <x v="2"/>
    <x v="2"/>
    <n v="1013.62"/>
    <x v="0"/>
    <n v="30665.18"/>
    <s v="Medium"/>
    <x v="3"/>
    <n v="26"/>
    <x v="0"/>
    <s v="Female"/>
    <s v="Checking"/>
    <x v="197"/>
    <s v="USD"/>
    <x v="1"/>
    <n v="1.95E-2"/>
    <n v="1.95"/>
    <s v="low"/>
    <n v="26681.654999999999"/>
    <n v="520.29227249999997"/>
    <n v="13"/>
    <n v="842"/>
    <x v="1"/>
    <n v="0"/>
    <s v="Good"/>
    <n v="5"/>
    <n v="14491.93"/>
    <s v="High Income"/>
    <s v="Self-employed"/>
    <s v="Without Loan"/>
    <s v="Low-Risk"/>
  </r>
  <r>
    <s v="T000230"/>
    <s v="C2648"/>
    <s v="AC72076001"/>
    <x v="190"/>
    <x v="4"/>
    <x v="0"/>
    <x v="0"/>
    <n v="6003.58"/>
    <x v="0"/>
    <n v="22224.99"/>
    <s v="Medium"/>
    <x v="2"/>
    <n v="18"/>
    <x v="4"/>
    <s v="Female"/>
    <s v="Credit"/>
    <x v="198"/>
    <s v="GBP"/>
    <x v="2"/>
    <n v="3.5099999999999999E-2"/>
    <n v="3.51"/>
    <s v="low"/>
    <n v="26681.654999999999"/>
    <n v="936.5260904999999"/>
    <n v="12"/>
    <n v="301"/>
    <x v="0"/>
    <n v="2"/>
    <s v="Good"/>
    <n v="1"/>
    <n v="4375.03"/>
    <s v="Middle Income"/>
    <s v="Unemployed"/>
    <s v="Without Loan"/>
    <s v="Low-Risk"/>
  </r>
  <r>
    <s v="T000231"/>
    <s v="C6539"/>
    <s v="AC52942594"/>
    <x v="27"/>
    <x v="15"/>
    <x v="2"/>
    <x v="0"/>
    <n v="5540.88"/>
    <x v="0"/>
    <n v="38940.83"/>
    <s v="Medium"/>
    <x v="0"/>
    <n v="43"/>
    <x v="1"/>
    <s v="Male"/>
    <s v="Checking"/>
    <x v="199"/>
    <s v="USD"/>
    <x v="2"/>
    <n v="2.2100000000000002E-2"/>
    <n v="2.21"/>
    <s v="low"/>
    <n v="26681.654999999999"/>
    <n v="589.66457550000007"/>
    <n v="13"/>
    <n v="587"/>
    <x v="2"/>
    <n v="2"/>
    <s v="Good"/>
    <n v="2"/>
    <n v="6046.19"/>
    <s v="High Income"/>
    <s v="Self-employed"/>
    <s v="Without Loan"/>
    <s v="Low-Risk"/>
  </r>
  <r>
    <s v="T000232"/>
    <s v="C5199"/>
    <s v="AC47747492"/>
    <x v="116"/>
    <x v="11"/>
    <x v="6"/>
    <x v="0"/>
    <n v="9013.18"/>
    <x v="0"/>
    <n v="42776.66"/>
    <s v="Medium"/>
    <x v="0"/>
    <n v="55"/>
    <x v="2"/>
    <s v="Male"/>
    <s v="Savings"/>
    <x v="200"/>
    <s v="EUR"/>
    <x v="1"/>
    <n v="4.87E-2"/>
    <n v="4.87"/>
    <s v="high"/>
    <n v="24011.54"/>
    <n v="1169.3619980000001"/>
    <n v="26"/>
    <n v="437"/>
    <x v="0"/>
    <n v="0"/>
    <s v="Good"/>
    <n v="1"/>
    <n v="8628.6"/>
    <s v="High Income"/>
    <s v="Employed"/>
    <s v="With Loan"/>
    <s v="Low-Risk"/>
  </r>
  <r>
    <s v="T000233"/>
    <s v="C9445"/>
    <s v="AC25170521"/>
    <x v="120"/>
    <x v="9"/>
    <x v="7"/>
    <x v="3"/>
    <n v="4101.97"/>
    <x v="0"/>
    <n v="27540.67"/>
    <s v="Medium"/>
    <x v="1"/>
    <n v="55"/>
    <x v="2"/>
    <s v="Female"/>
    <s v="Checking"/>
    <x v="201"/>
    <s v="GBP"/>
    <x v="0"/>
    <n v="3.8100000000000002E-2"/>
    <n v="3.81"/>
    <s v="low"/>
    <n v="26681.654999999999"/>
    <n v="1016.5710555000001"/>
    <n v="29"/>
    <n v="811"/>
    <x v="1"/>
    <n v="1"/>
    <s v="Default"/>
    <n v="5"/>
    <n v="13219.35"/>
    <s v="High Income"/>
    <s v="Self-employed"/>
    <s v="Without Loan"/>
    <s v="Low-Risk"/>
  </r>
  <r>
    <s v="T000234"/>
    <s v="C3557"/>
    <s v="AC35841846"/>
    <x v="191"/>
    <x v="1"/>
    <x v="9"/>
    <x v="0"/>
    <n v="3278.7"/>
    <x v="0"/>
    <n v="38155.1"/>
    <s v="Medium"/>
    <x v="4"/>
    <n v="61"/>
    <x v="3"/>
    <s v="Female"/>
    <s v="Checking"/>
    <x v="202"/>
    <s v="GBP"/>
    <x v="0"/>
    <n v="1.55E-2"/>
    <n v="1.55"/>
    <s v="low"/>
    <n v="26681.654999999999"/>
    <n v="413.5656525"/>
    <n v="28"/>
    <n v="521"/>
    <x v="0"/>
    <n v="1"/>
    <s v="Default"/>
    <n v="1"/>
    <n v="7416.71"/>
    <s v="High Income"/>
    <s v="Unemployed"/>
    <s v="Without Loan"/>
    <s v="Low-Risk"/>
  </r>
  <r>
    <s v="T000235"/>
    <s v="C6592"/>
    <s v="AC22267883"/>
    <x v="169"/>
    <x v="10"/>
    <x v="6"/>
    <x v="0"/>
    <n v="7523.52"/>
    <x v="1"/>
    <n v="16038.32"/>
    <s v="Medium"/>
    <x v="4"/>
    <n v="39"/>
    <x v="1"/>
    <s v="Female"/>
    <s v="Credit"/>
    <x v="203"/>
    <s v="USD"/>
    <x v="1"/>
    <n v="2.6700000000000002E-2"/>
    <n v="2.67"/>
    <s v="low"/>
    <n v="26681.654999999999"/>
    <n v="712.40018850000001"/>
    <n v="13"/>
    <n v="630"/>
    <x v="2"/>
    <n v="0"/>
    <s v="Good"/>
    <n v="2"/>
    <n v="11670.25"/>
    <s v="High Income"/>
    <s v="Unemployed"/>
    <s v="Without Loan"/>
    <s v="Low-Risk"/>
  </r>
  <r>
    <s v="T000236"/>
    <s v="C1098"/>
    <s v="AC52639398"/>
    <x v="87"/>
    <x v="7"/>
    <x v="1"/>
    <x v="2"/>
    <n v="4185.49"/>
    <x v="0"/>
    <n v="21333.59"/>
    <s v="Medium"/>
    <x v="4"/>
    <n v="61"/>
    <x v="3"/>
    <s v="Male"/>
    <s v="Credit"/>
    <x v="17"/>
    <s v="USD"/>
    <x v="2"/>
    <n v="2.5399999999999999E-2"/>
    <n v="2.54"/>
    <s v="low"/>
    <n v="41560.53"/>
    <n v="1055.6374619999999"/>
    <n v="13"/>
    <n v="703"/>
    <x v="3"/>
    <n v="2"/>
    <s v="Good"/>
    <n v="3"/>
    <n v="13132.86"/>
    <s v="High Income"/>
    <s v="Self-employed"/>
    <s v="With Loan"/>
    <s v="Low-Risk"/>
  </r>
  <r>
    <s v="T000237"/>
    <s v="C3200"/>
    <s v="AC21984398"/>
    <x v="192"/>
    <x v="20"/>
    <x v="5"/>
    <x v="0"/>
    <n v="6496.35"/>
    <x v="0"/>
    <n v="35926.11"/>
    <s v="Medium"/>
    <x v="0"/>
    <n v="27"/>
    <x v="0"/>
    <s v="Male"/>
    <s v="Credit"/>
    <x v="204"/>
    <s v="EUR"/>
    <x v="2"/>
    <n v="3.1399999999999997E-2"/>
    <n v="3.14"/>
    <s v="low"/>
    <n v="26681.654999999999"/>
    <n v="837.80396699999994"/>
    <n v="13"/>
    <n v="807"/>
    <x v="1"/>
    <n v="2"/>
    <s v="Good"/>
    <n v="5"/>
    <n v="6030.21"/>
    <s v="High Income"/>
    <s v="Employed"/>
    <s v="Without Loan"/>
    <s v="Low-Risk"/>
  </r>
  <r>
    <s v="T000238"/>
    <s v="C3961"/>
    <s v="AC45396080"/>
    <x v="193"/>
    <x v="6"/>
    <x v="4"/>
    <x v="3"/>
    <n v="6499.86"/>
    <x v="1"/>
    <n v="19924.39"/>
    <s v="Medium"/>
    <x v="1"/>
    <n v="23"/>
    <x v="4"/>
    <s v="Male"/>
    <s v="Checking"/>
    <x v="205"/>
    <s v="GBP"/>
    <x v="2"/>
    <n v="4.3700000000000003E-2"/>
    <n v="4.37"/>
    <s v="high"/>
    <n v="26681.654999999999"/>
    <n v="1165.9883235"/>
    <n v="20"/>
    <n v="426"/>
    <x v="0"/>
    <n v="2"/>
    <s v="Good"/>
    <n v="1"/>
    <n v="7105.75"/>
    <s v="High Income"/>
    <s v="Employed"/>
    <s v="Without Loan"/>
    <s v="Low-Risk"/>
  </r>
  <r>
    <s v="T000239"/>
    <s v="C5973"/>
    <s v="AC40715395"/>
    <x v="194"/>
    <x v="18"/>
    <x v="8"/>
    <x v="3"/>
    <n v="8891.59"/>
    <x v="0"/>
    <n v="29836.74"/>
    <s v="Medium"/>
    <x v="3"/>
    <n v="34"/>
    <x v="0"/>
    <s v="Male"/>
    <s v="Checking"/>
    <x v="123"/>
    <s v="USD"/>
    <x v="0"/>
    <n v="3.3300000000000003E-2"/>
    <n v="3.33"/>
    <s v="low"/>
    <n v="26681.654999999999"/>
    <n v="888.49911150000003"/>
    <n v="13"/>
    <n v="564"/>
    <x v="0"/>
    <n v="1"/>
    <s v="Default"/>
    <n v="1"/>
    <n v="6635.23"/>
    <s v="High Income"/>
    <s v="Unemployed"/>
    <s v="Without Loan"/>
    <s v="Low-Risk"/>
  </r>
  <r>
    <s v="T000240"/>
    <s v="C5433"/>
    <s v="AC50686940"/>
    <x v="88"/>
    <x v="30"/>
    <x v="3"/>
    <x v="2"/>
    <n v="6027.05"/>
    <x v="1"/>
    <n v="10083.27"/>
    <s v="Medium"/>
    <x v="2"/>
    <n v="68"/>
    <x v="3"/>
    <s v="Male"/>
    <s v="Savings"/>
    <x v="206"/>
    <s v="EUR"/>
    <x v="2"/>
    <n v="1.2500000000000001E-2"/>
    <n v="1.25"/>
    <s v="low"/>
    <n v="32605.05"/>
    <n v="407.56312500000001"/>
    <n v="13"/>
    <n v="314"/>
    <x v="0"/>
    <n v="2"/>
    <s v="Good"/>
    <n v="1"/>
    <n v="12827.13"/>
    <s v="High Income"/>
    <s v="Unemployed"/>
    <s v="With Loan"/>
    <s v="Low-Risk"/>
  </r>
  <r>
    <s v="T000241"/>
    <s v="C3869"/>
    <s v="AC33215061"/>
    <x v="158"/>
    <x v="5"/>
    <x v="6"/>
    <x v="0"/>
    <n v="5071.32"/>
    <x v="0"/>
    <n v="30388.79"/>
    <s v="Medium"/>
    <x v="3"/>
    <n v="67"/>
    <x v="3"/>
    <s v="Male"/>
    <s v="Checking"/>
    <x v="207"/>
    <s v="USD"/>
    <x v="0"/>
    <n v="3.6200000000000003E-2"/>
    <n v="3.62"/>
    <s v="low"/>
    <n v="20921.13"/>
    <n v="757.34490600000015"/>
    <n v="13"/>
    <n v="525"/>
    <x v="0"/>
    <n v="1"/>
    <s v="Default"/>
    <n v="1"/>
    <n v="2576.5100000000002"/>
    <s v="Low Income"/>
    <s v="Self-employed"/>
    <s v="With Loan"/>
    <s v="Low-Risk"/>
  </r>
  <r>
    <s v="T000242"/>
    <s v="C1956"/>
    <s v="AC36854296"/>
    <x v="195"/>
    <x v="9"/>
    <x v="11"/>
    <x v="0"/>
    <n v="1474.83"/>
    <x v="0"/>
    <n v="43214.17"/>
    <s v="Medium"/>
    <x v="0"/>
    <n v="55"/>
    <x v="2"/>
    <s v="Female"/>
    <s v="Savings"/>
    <x v="208"/>
    <s v="GBP"/>
    <x v="2"/>
    <n v="1.03E-2"/>
    <n v="1.03"/>
    <s v="low"/>
    <n v="26681.654999999999"/>
    <n v="274.82104649999997"/>
    <n v="13"/>
    <n v="404"/>
    <x v="0"/>
    <n v="2"/>
    <s v="Good"/>
    <n v="1"/>
    <n v="6009.47"/>
    <s v="High Income"/>
    <s v="Self-employed"/>
    <s v="Without Loan"/>
    <s v="Low-Risk"/>
  </r>
  <r>
    <s v="T000243"/>
    <s v="C9352"/>
    <s v="AC92058636"/>
    <x v="196"/>
    <x v="3"/>
    <x v="4"/>
    <x v="3"/>
    <n v="1245.8"/>
    <x v="0"/>
    <n v="43563.34"/>
    <s v="Medium"/>
    <x v="4"/>
    <n v="41"/>
    <x v="1"/>
    <s v="Female"/>
    <s v="Credit"/>
    <x v="137"/>
    <s v="USD"/>
    <x v="1"/>
    <n v="4.1200000000000001E-2"/>
    <n v="4.12"/>
    <s v="high"/>
    <n v="26681.654999999999"/>
    <n v="1099.2841859999999"/>
    <n v="27"/>
    <n v="792"/>
    <x v="4"/>
    <n v="0"/>
    <s v="Good"/>
    <n v="4"/>
    <n v="10832.31"/>
    <s v="High Income"/>
    <s v="Self-employed"/>
    <s v="Without Loan"/>
    <s v="Low-Risk"/>
  </r>
  <r>
    <s v="T000244"/>
    <s v="C6699"/>
    <s v="AC13828433"/>
    <x v="197"/>
    <x v="15"/>
    <x v="0"/>
    <x v="0"/>
    <n v="1627.78"/>
    <x v="0"/>
    <n v="36492.879999999997"/>
    <s v="Medium"/>
    <x v="2"/>
    <n v="68"/>
    <x v="3"/>
    <s v="Female"/>
    <s v="Credit"/>
    <x v="209"/>
    <s v="GBP"/>
    <x v="1"/>
    <n v="3.6700000000000003E-2"/>
    <n v="3.67"/>
    <s v="low"/>
    <n v="26681.654999999999"/>
    <n v="979.21673850000002"/>
    <n v="27"/>
    <n v="618"/>
    <x v="2"/>
    <n v="0"/>
    <s v="Good"/>
    <n v="2"/>
    <n v="9350.77"/>
    <s v="High Income"/>
    <s v="Employed"/>
    <s v="Without Loan"/>
    <s v="Low-Risk"/>
  </r>
  <r>
    <s v="T000245"/>
    <s v="C7944"/>
    <s v="AC96621344"/>
    <x v="198"/>
    <x v="2"/>
    <x v="6"/>
    <x v="0"/>
    <n v="1801.3"/>
    <x v="0"/>
    <n v="37541.919999999998"/>
    <s v="Medium"/>
    <x v="0"/>
    <n v="27"/>
    <x v="0"/>
    <s v="Male"/>
    <s v="Credit"/>
    <x v="65"/>
    <s v="USD"/>
    <x v="0"/>
    <n v="2.24E-2"/>
    <n v="2.2400000000000002"/>
    <s v="low"/>
    <n v="26681.654999999999"/>
    <n v="597.66907199999991"/>
    <n v="13"/>
    <n v="518"/>
    <x v="0"/>
    <n v="1"/>
    <s v="Default"/>
    <n v="1"/>
    <n v="7671.76"/>
    <s v="High Income"/>
    <s v="Employed"/>
    <s v="Without Loan"/>
    <s v="Low-Risk"/>
  </r>
  <r>
    <s v="T000246"/>
    <s v="C5493"/>
    <s v="AC57149071"/>
    <x v="110"/>
    <x v="20"/>
    <x v="4"/>
    <x v="0"/>
    <n v="6414.98"/>
    <x v="0"/>
    <n v="28338.44"/>
    <s v="Medium"/>
    <x v="0"/>
    <n v="25"/>
    <x v="4"/>
    <s v="Female"/>
    <s v="Savings"/>
    <x v="210"/>
    <s v="GBP"/>
    <x v="0"/>
    <n v="2.1700000000000001E-2"/>
    <n v="2.17"/>
    <s v="low"/>
    <n v="49922.48"/>
    <n v="1083.317816"/>
    <n v="1"/>
    <n v="576"/>
    <x v="0"/>
    <n v="1"/>
    <s v="Default"/>
    <n v="1"/>
    <n v="9019.33"/>
    <s v="High Income"/>
    <s v="Unemployed"/>
    <s v="With Loan"/>
    <s v="High-Risk"/>
  </r>
  <r>
    <s v="T000247"/>
    <s v="C5911"/>
    <s v="AC98334828"/>
    <x v="199"/>
    <x v="19"/>
    <x v="9"/>
    <x v="1"/>
    <n v="7435.71"/>
    <x v="0"/>
    <n v="29648.74"/>
    <s v="Medium"/>
    <x v="0"/>
    <n v="38"/>
    <x v="1"/>
    <s v="Male"/>
    <s v="Checking"/>
    <x v="211"/>
    <s v="EUR"/>
    <x v="1"/>
    <n v="4.19E-2"/>
    <n v="4.1900000000000004"/>
    <s v="high"/>
    <n v="26681.654999999999"/>
    <n v="1117.9613445"/>
    <n v="6"/>
    <n v="640"/>
    <x v="2"/>
    <n v="0"/>
    <s v="Good"/>
    <n v="2"/>
    <n v="4568.6000000000004"/>
    <s v="Middle Income"/>
    <s v="Unemployed"/>
    <s v="Without Loan"/>
    <s v="Low-Risk"/>
  </r>
  <r>
    <s v="T000248"/>
    <s v="C4987"/>
    <s v="AC17152747"/>
    <x v="200"/>
    <x v="13"/>
    <x v="4"/>
    <x v="2"/>
    <n v="5346.92"/>
    <x v="1"/>
    <n v="7548.88"/>
    <s v="Low"/>
    <x v="2"/>
    <n v="23"/>
    <x v="4"/>
    <s v="Male"/>
    <s v="Credit"/>
    <x v="212"/>
    <s v="GBP"/>
    <x v="1"/>
    <n v="4.1300000000000003E-2"/>
    <n v="4.13"/>
    <s v="high"/>
    <n v="17906.57"/>
    <n v="739.5413410000001"/>
    <n v="11"/>
    <n v="751"/>
    <x v="4"/>
    <n v="0"/>
    <s v="Good"/>
    <n v="4"/>
    <n v="7599.32"/>
    <s v="High Income"/>
    <s v="Unemployed"/>
    <s v="With Loan"/>
    <s v="Low-Risk"/>
  </r>
  <r>
    <s v="T000249"/>
    <s v="C7015"/>
    <s v="AC71029245"/>
    <x v="201"/>
    <x v="17"/>
    <x v="2"/>
    <x v="1"/>
    <n v="8307.2800000000007"/>
    <x v="0"/>
    <n v="22749.1"/>
    <s v="Medium"/>
    <x v="2"/>
    <n v="38"/>
    <x v="1"/>
    <s v="Female"/>
    <s v="Checking"/>
    <x v="213"/>
    <s v="EUR"/>
    <x v="2"/>
    <n v="2.41E-2"/>
    <n v="2.41"/>
    <s v="low"/>
    <n v="26681.654999999999"/>
    <n v="643.02788550000002"/>
    <n v="2"/>
    <n v="668"/>
    <x v="2"/>
    <n v="2"/>
    <s v="Good"/>
    <n v="2"/>
    <n v="8522.14"/>
    <s v="High Income"/>
    <s v="Self-employed"/>
    <s v="Without Loan"/>
    <s v="Low-Risk"/>
  </r>
  <r>
    <s v="T000250"/>
    <s v="C2218"/>
    <s v="AC58344513"/>
    <x v="138"/>
    <x v="3"/>
    <x v="7"/>
    <x v="2"/>
    <n v="9913.51"/>
    <x v="0"/>
    <n v="23088.04"/>
    <s v="Medium"/>
    <x v="1"/>
    <n v="56"/>
    <x v="2"/>
    <s v="Male"/>
    <s v="Checking"/>
    <x v="214"/>
    <s v="GBP"/>
    <x v="1"/>
    <n v="2.1999999999999999E-2"/>
    <n v="2.1999999999999999E-2"/>
    <s v="low"/>
    <n v="38277.660000000003"/>
    <n v="842.10852"/>
    <n v="7"/>
    <n v="773"/>
    <x v="4"/>
    <n v="0"/>
    <s v="Good"/>
    <n v="4"/>
    <n v="13715.46"/>
    <s v="High Income"/>
    <s v="Employed"/>
    <s v="With Loan"/>
    <s v="Low-Risk"/>
  </r>
  <r>
    <s v="T000251"/>
    <s v="C5496"/>
    <s v="AC11020154"/>
    <x v="202"/>
    <x v="4"/>
    <x v="6"/>
    <x v="3"/>
    <n v="8218.1299999999992"/>
    <x v="0"/>
    <n v="47966.39"/>
    <s v="Medium"/>
    <x v="1"/>
    <n v="41"/>
    <x v="1"/>
    <s v="Female"/>
    <s v="Credit"/>
    <x v="215"/>
    <s v="EUR"/>
    <x v="0"/>
    <n v="3.2399999999999998E-2"/>
    <n v="3.24"/>
    <s v="low"/>
    <n v="48583.11"/>
    <n v="1574.092764"/>
    <n v="13"/>
    <n v="489"/>
    <x v="0"/>
    <n v="1"/>
    <s v="Default"/>
    <n v="1"/>
    <n v="5390.86"/>
    <s v="High Income"/>
    <s v="Unemployed"/>
    <s v="With Loan"/>
    <s v="High-Risk"/>
  </r>
  <r>
    <s v="T000252"/>
    <s v="C5735"/>
    <s v="AC48499601"/>
    <x v="203"/>
    <x v="23"/>
    <x v="7"/>
    <x v="0"/>
    <n v="6979.34"/>
    <x v="0"/>
    <n v="22123.26"/>
    <s v="Medium"/>
    <x v="3"/>
    <n v="50"/>
    <x v="2"/>
    <s v="Female"/>
    <s v="Savings"/>
    <x v="216"/>
    <s v="USD"/>
    <x v="1"/>
    <n v="1.03E-2"/>
    <n v="1.03"/>
    <s v="low"/>
    <n v="26681.654999999999"/>
    <n v="274.82104649999997"/>
    <n v="21"/>
    <n v="718"/>
    <x v="3"/>
    <n v="0"/>
    <s v="Good"/>
    <n v="3"/>
    <n v="13281.77"/>
    <s v="High Income"/>
    <s v="Unemployed"/>
    <s v="Without Loan"/>
    <s v="Low-Risk"/>
  </r>
  <r>
    <s v="T000253"/>
    <s v="C5555"/>
    <s v="AC16733215"/>
    <x v="204"/>
    <x v="16"/>
    <x v="1"/>
    <x v="2"/>
    <n v="5371.68"/>
    <x v="0"/>
    <n v="27917.79"/>
    <s v="Medium"/>
    <x v="2"/>
    <n v="35"/>
    <x v="0"/>
    <s v="Male"/>
    <s v="Checking"/>
    <x v="216"/>
    <s v="GBP"/>
    <x v="0"/>
    <n v="1.3299999999999999E-2"/>
    <n v="1.33"/>
    <s v="low"/>
    <n v="42328.51"/>
    <n v="562.96918300000004"/>
    <n v="13"/>
    <n v="794"/>
    <x v="4"/>
    <n v="1"/>
    <s v="Default"/>
    <n v="4"/>
    <n v="10375.14"/>
    <s v="High Income"/>
    <s v="Unemployed"/>
    <s v="With Loan"/>
    <s v="Low-Risk"/>
  </r>
  <r>
    <s v="T000254"/>
    <s v="C9050"/>
    <s v="AC85304674"/>
    <x v="205"/>
    <x v="21"/>
    <x v="0"/>
    <x v="1"/>
    <n v="4543.6499999999996"/>
    <x v="0"/>
    <n v="27129.32"/>
    <s v="Medium"/>
    <x v="2"/>
    <n v="45"/>
    <x v="1"/>
    <s v="Female"/>
    <s v="Credit"/>
    <x v="217"/>
    <s v="USD"/>
    <x v="0"/>
    <n v="1.4999999999999999E-2"/>
    <n v="1.4999999999999999E-2"/>
    <s v="low"/>
    <n v="26681.654999999999"/>
    <n v="400.22482499999995"/>
    <n v="13"/>
    <n v="338"/>
    <x v="0"/>
    <n v="1"/>
    <s v="Default"/>
    <n v="1"/>
    <n v="2264.4299999999998"/>
    <s v="Low Income"/>
    <s v="Unemployed"/>
    <s v="Without Loan"/>
    <s v="Low-Risk"/>
  </r>
  <r>
    <s v="T000255"/>
    <s v="C4446"/>
    <s v="AC42339834"/>
    <x v="152"/>
    <x v="17"/>
    <x v="2"/>
    <x v="0"/>
    <n v="935.48"/>
    <x v="0"/>
    <n v="32201.32"/>
    <s v="Medium"/>
    <x v="2"/>
    <n v="69"/>
    <x v="3"/>
    <s v="Female"/>
    <s v="Checking"/>
    <x v="218"/>
    <s v="EUR"/>
    <x v="2"/>
    <n v="1.7399999999999999E-2"/>
    <n v="1.74"/>
    <s v="low"/>
    <n v="44306.29"/>
    <n v="770.92944599999998"/>
    <n v="13"/>
    <n v="461"/>
    <x v="0"/>
    <n v="2"/>
    <s v="Good"/>
    <n v="1"/>
    <n v="11420.21"/>
    <s v="High Income"/>
    <s v="Unemployed"/>
    <s v="With Loan"/>
    <s v="High-Risk"/>
  </r>
  <r>
    <s v="T000256"/>
    <s v="C2045"/>
    <s v="AC50739629"/>
    <x v="15"/>
    <x v="11"/>
    <x v="2"/>
    <x v="3"/>
    <n v="4053.75"/>
    <x v="0"/>
    <n v="37663.410000000003"/>
    <s v="Medium"/>
    <x v="1"/>
    <n v="49"/>
    <x v="2"/>
    <s v="Female"/>
    <s v="Checking"/>
    <x v="113"/>
    <s v="GBP"/>
    <x v="2"/>
    <n v="3.0499999999999999E-2"/>
    <n v="3.05"/>
    <s v="low"/>
    <n v="15221.74"/>
    <n v="464.26306999999997"/>
    <n v="21"/>
    <n v="420"/>
    <x v="0"/>
    <n v="2"/>
    <s v="Good"/>
    <n v="1"/>
    <n v="2462.17"/>
    <s v="Low Income"/>
    <s v="Unemployed"/>
    <s v="With Loan"/>
    <s v="Low-Risk"/>
  </r>
  <r>
    <s v="T000257"/>
    <s v="C7893"/>
    <s v="AC39900787"/>
    <x v="161"/>
    <x v="9"/>
    <x v="6"/>
    <x v="2"/>
    <n v="9110.33"/>
    <x v="1"/>
    <n v="12027.05"/>
    <s v="Medium"/>
    <x v="0"/>
    <n v="29"/>
    <x v="0"/>
    <s v="Female"/>
    <s v="Checking"/>
    <x v="219"/>
    <s v="GBP"/>
    <x v="2"/>
    <n v="4.9700000000000001E-2"/>
    <n v="4.97"/>
    <s v="high"/>
    <n v="26681.654999999999"/>
    <n v="1326.0782535000001"/>
    <n v="19"/>
    <n v="698"/>
    <x v="3"/>
    <n v="2"/>
    <s v="Good"/>
    <n v="3"/>
    <n v="14965.95"/>
    <s v="High Income"/>
    <s v="Employed"/>
    <s v="Without Loan"/>
    <s v="Low-Risk"/>
  </r>
  <r>
    <s v="T000258"/>
    <s v="C2693"/>
    <s v="AC83823165"/>
    <x v="146"/>
    <x v="28"/>
    <x v="1"/>
    <x v="2"/>
    <n v="8099.42"/>
    <x v="0"/>
    <n v="26907.5"/>
    <s v="Medium"/>
    <x v="4"/>
    <n v="65"/>
    <x v="3"/>
    <s v="Male"/>
    <s v="Checking"/>
    <x v="74"/>
    <s v="USD"/>
    <x v="2"/>
    <n v="3.61E-2"/>
    <n v="3.61"/>
    <s v="low"/>
    <n v="26681.654999999999"/>
    <n v="963.20774549999999"/>
    <n v="4"/>
    <n v="561"/>
    <x v="0"/>
    <n v="2"/>
    <s v="Good"/>
    <n v="1"/>
    <n v="13344.28"/>
    <s v="High Income"/>
    <s v="Unemployed"/>
    <s v="Without Loan"/>
    <s v="Low-Risk"/>
  </r>
  <r>
    <s v="T000259"/>
    <s v="C4436"/>
    <s v="AC37259197"/>
    <x v="206"/>
    <x v="18"/>
    <x v="5"/>
    <x v="2"/>
    <n v="2238.91"/>
    <x v="0"/>
    <n v="41469.97"/>
    <s v="Medium"/>
    <x v="1"/>
    <n v="59"/>
    <x v="2"/>
    <s v="Female"/>
    <s v="Checking"/>
    <x v="220"/>
    <s v="GBP"/>
    <x v="1"/>
    <n v="1.2500000000000001E-2"/>
    <n v="1.25"/>
    <s v="low"/>
    <n v="28911.24"/>
    <n v="361.39050000000003"/>
    <n v="13"/>
    <n v="428"/>
    <x v="0"/>
    <n v="0"/>
    <s v="Good"/>
    <n v="1"/>
    <n v="5865.47"/>
    <s v="High Income"/>
    <s v="Employed"/>
    <s v="With Loan"/>
    <s v="Low-Risk"/>
  </r>
  <r>
    <s v="T000260"/>
    <s v="C9754"/>
    <s v="AC57784180"/>
    <x v="207"/>
    <x v="27"/>
    <x v="2"/>
    <x v="0"/>
    <n v="4719.42"/>
    <x v="0"/>
    <n v="23692.62"/>
    <s v="Medium"/>
    <x v="2"/>
    <n v="44"/>
    <x v="1"/>
    <s v="Female"/>
    <s v="Savings"/>
    <x v="221"/>
    <s v="GBP"/>
    <x v="2"/>
    <n v="3.1E-2"/>
    <n v="3.1E-2"/>
    <s v="low"/>
    <n v="14056.27"/>
    <n v="435.74437"/>
    <n v="13"/>
    <n v="839"/>
    <x v="1"/>
    <n v="2"/>
    <s v="Good"/>
    <n v="5"/>
    <n v="5346.35"/>
    <s v="High Income"/>
    <s v="Self-employed"/>
    <s v="With Loan"/>
    <s v="Low-Risk"/>
  </r>
  <r>
    <s v="T000261"/>
    <s v="C6895"/>
    <s v="AC57379179"/>
    <x v="208"/>
    <x v="14"/>
    <x v="2"/>
    <x v="1"/>
    <n v="8185.56"/>
    <x v="1"/>
    <n v="14644.42"/>
    <s v="Medium"/>
    <x v="1"/>
    <n v="27"/>
    <x v="0"/>
    <s v="Female"/>
    <s v="Savings"/>
    <x v="222"/>
    <s v="USD"/>
    <x v="1"/>
    <n v="2.9899999999999999E-2"/>
    <n v="2.99"/>
    <s v="low"/>
    <n v="26681.654999999999"/>
    <n v="797.78148449999992"/>
    <n v="13"/>
    <n v="655"/>
    <x v="2"/>
    <n v="0"/>
    <s v="Good"/>
    <n v="2"/>
    <n v="6958.73"/>
    <s v="High Income"/>
    <s v="Employed"/>
    <s v="Without Loan"/>
    <s v="Low-Risk"/>
  </r>
  <r>
    <s v="T000262"/>
    <s v="C4354"/>
    <s v="AC20760888"/>
    <x v="209"/>
    <x v="22"/>
    <x v="6"/>
    <x v="1"/>
    <n v="767.11"/>
    <x v="0"/>
    <n v="33080.74"/>
    <s v="Medium"/>
    <x v="3"/>
    <n v="63"/>
    <x v="3"/>
    <s v="Male"/>
    <s v="Credit"/>
    <x v="223"/>
    <s v="GBP"/>
    <x v="2"/>
    <n v="1.5800000000000002E-2"/>
    <n v="1.58"/>
    <s v="low"/>
    <n v="26681.654999999999"/>
    <n v="421.57014900000001"/>
    <n v="13"/>
    <n v="731"/>
    <x v="3"/>
    <n v="2"/>
    <s v="Good"/>
    <n v="3"/>
    <n v="6630.17"/>
    <s v="High Income"/>
    <s v="Self-employed"/>
    <s v="Without Loan"/>
    <s v="Low-Risk"/>
  </r>
  <r>
    <s v="T000263"/>
    <s v="C1225"/>
    <s v="AC88414095"/>
    <x v="210"/>
    <x v="23"/>
    <x v="2"/>
    <x v="2"/>
    <n v="3935.19"/>
    <x v="0"/>
    <n v="41364.6"/>
    <s v="Medium"/>
    <x v="2"/>
    <n v="69"/>
    <x v="3"/>
    <s v="Female"/>
    <s v="Savings"/>
    <x v="224"/>
    <s v="USD"/>
    <x v="2"/>
    <n v="4.6800000000000001E-2"/>
    <n v="4.68"/>
    <s v="high"/>
    <n v="26681.654999999999"/>
    <n v="1248.701454"/>
    <n v="25"/>
    <n v="364"/>
    <x v="0"/>
    <n v="2"/>
    <s v="Good"/>
    <n v="1"/>
    <n v="6840.39"/>
    <s v="High Income"/>
    <s v="Employed"/>
    <s v="Without Loan"/>
    <s v="Low-Risk"/>
  </r>
  <r>
    <s v="T000264"/>
    <s v="C5893"/>
    <s v="AC75856750"/>
    <x v="39"/>
    <x v="11"/>
    <x v="3"/>
    <x v="3"/>
    <n v="8533.23"/>
    <x v="1"/>
    <n v="4093.87"/>
    <s v="Low"/>
    <x v="3"/>
    <n v="59"/>
    <x v="2"/>
    <s v="Male"/>
    <s v="Savings"/>
    <x v="225"/>
    <s v="USD"/>
    <x v="0"/>
    <n v="2.76E-2"/>
    <n v="2.76"/>
    <s v="low"/>
    <n v="19280.93"/>
    <n v="532.15366800000004"/>
    <n v="13"/>
    <n v="517"/>
    <x v="0"/>
    <n v="1"/>
    <s v="Default"/>
    <n v="1"/>
    <n v="6137.6"/>
    <s v="High Income"/>
    <s v="Employed"/>
    <s v="With Loan"/>
    <s v="Low-Risk"/>
  </r>
  <r>
    <s v="T000265"/>
    <s v="C8022"/>
    <s v="AC88483721"/>
    <x v="211"/>
    <x v="29"/>
    <x v="4"/>
    <x v="3"/>
    <n v="4098.59"/>
    <x v="0"/>
    <n v="39062.730000000003"/>
    <s v="Medium"/>
    <x v="2"/>
    <n v="49"/>
    <x v="2"/>
    <s v="Female"/>
    <s v="Savings"/>
    <x v="146"/>
    <s v="USD"/>
    <x v="1"/>
    <n v="4.9799999999999997E-2"/>
    <n v="4.9800000000000004"/>
    <s v="high"/>
    <n v="26681.654999999999"/>
    <n v="1328.7464189999998"/>
    <n v="13"/>
    <n v="726"/>
    <x v="3"/>
    <n v="0"/>
    <s v="Good"/>
    <n v="3"/>
    <n v="10074.73"/>
    <s v="High Income"/>
    <s v="Unemployed"/>
    <s v="Without Loan"/>
    <s v="Low-Risk"/>
  </r>
  <r>
    <s v="T000266"/>
    <s v="C6600"/>
    <s v="AC59464216"/>
    <x v="212"/>
    <x v="26"/>
    <x v="8"/>
    <x v="1"/>
    <n v="868.38"/>
    <x v="0"/>
    <n v="41260.75"/>
    <s v="Medium"/>
    <x v="1"/>
    <n v="59"/>
    <x v="2"/>
    <s v="Female"/>
    <s v="Checking"/>
    <x v="185"/>
    <s v="USD"/>
    <x v="0"/>
    <n v="2.6800000000000001E-2"/>
    <n v="2.68"/>
    <s v="low"/>
    <n v="26681.654999999999"/>
    <n v="715.068354"/>
    <n v="13"/>
    <n v="373"/>
    <x v="0"/>
    <n v="1"/>
    <s v="Default"/>
    <n v="1"/>
    <n v="4135.43"/>
    <s v="Middle Income"/>
    <s v="Employed"/>
    <s v="Without Loan"/>
    <s v="Low-Risk"/>
  </r>
  <r>
    <s v="T000267"/>
    <s v="C8996"/>
    <s v="AC74884070"/>
    <x v="10"/>
    <x v="1"/>
    <x v="2"/>
    <x v="3"/>
    <n v="5471.09"/>
    <x v="0"/>
    <n v="23614.62"/>
    <s v="Medium"/>
    <x v="0"/>
    <n v="43"/>
    <x v="1"/>
    <s v="Female"/>
    <s v="Checking"/>
    <x v="226"/>
    <s v="USD"/>
    <x v="2"/>
    <n v="3.4299999999999997E-2"/>
    <n v="3.43"/>
    <s v="low"/>
    <n v="39622.81"/>
    <n v="1359.0623829999997"/>
    <n v="28"/>
    <n v="759"/>
    <x v="4"/>
    <n v="2"/>
    <s v="Good"/>
    <n v="4"/>
    <n v="12997.76"/>
    <s v="High Income"/>
    <s v="Employed"/>
    <s v="With Loan"/>
    <s v="Low-Risk"/>
  </r>
  <r>
    <s v="T000268"/>
    <s v="C8683"/>
    <s v="AC90884100"/>
    <x v="204"/>
    <x v="16"/>
    <x v="1"/>
    <x v="1"/>
    <n v="8631.25"/>
    <x v="0"/>
    <n v="49181.98"/>
    <s v="Medium"/>
    <x v="4"/>
    <n v="42"/>
    <x v="1"/>
    <s v="Male"/>
    <s v="Credit"/>
    <x v="227"/>
    <s v="EUR"/>
    <x v="1"/>
    <n v="1.4200000000000001E-2"/>
    <n v="1.42"/>
    <s v="low"/>
    <n v="26681.654999999999"/>
    <n v="378.879501"/>
    <n v="13"/>
    <n v="724"/>
    <x v="3"/>
    <n v="0"/>
    <s v="Good"/>
    <n v="3"/>
    <n v="12561.23"/>
    <s v="High Income"/>
    <s v="Unemployed"/>
    <s v="Without Loan"/>
    <s v="Low-Risk"/>
  </r>
  <r>
    <s v="T000269"/>
    <s v="C5642"/>
    <s v="AC68075712"/>
    <x v="213"/>
    <x v="23"/>
    <x v="5"/>
    <x v="2"/>
    <n v="5943.83"/>
    <x v="0"/>
    <n v="39548.71"/>
    <s v="Medium"/>
    <x v="3"/>
    <n v="28"/>
    <x v="0"/>
    <s v="Male"/>
    <s v="Credit"/>
    <x v="228"/>
    <s v="EUR"/>
    <x v="2"/>
    <n v="2.8199999999999999E-2"/>
    <n v="2.82"/>
    <s v="low"/>
    <n v="26681.654999999999"/>
    <n v="752.42267099999992"/>
    <n v="13"/>
    <n v="491"/>
    <x v="0"/>
    <n v="2"/>
    <s v="Good"/>
    <n v="1"/>
    <n v="8194.2800000000007"/>
    <s v="High Income"/>
    <s v="Self-employed"/>
    <s v="Without Loan"/>
    <s v="Low-Risk"/>
  </r>
  <r>
    <s v="T000270"/>
    <s v="C8679"/>
    <s v="AC96015965"/>
    <x v="79"/>
    <x v="28"/>
    <x v="5"/>
    <x v="1"/>
    <n v="2340.16"/>
    <x v="0"/>
    <n v="38909.47"/>
    <s v="Medium"/>
    <x v="1"/>
    <n v="40"/>
    <x v="1"/>
    <s v="Male"/>
    <s v="Credit"/>
    <x v="229"/>
    <s v="USD"/>
    <x v="0"/>
    <n v="1.9599999999999999E-2"/>
    <n v="1.96"/>
    <s v="low"/>
    <n v="26681.654999999999"/>
    <n v="522.96043799999995"/>
    <n v="1"/>
    <n v="488"/>
    <x v="0"/>
    <n v="1"/>
    <s v="Default"/>
    <n v="1"/>
    <n v="13085.49"/>
    <s v="High Income"/>
    <s v="Unemployed"/>
    <s v="Without Loan"/>
    <s v="Low-Risk"/>
  </r>
  <r>
    <s v="T000271"/>
    <s v="C9208"/>
    <s v="AC24372528"/>
    <x v="214"/>
    <x v="30"/>
    <x v="10"/>
    <x v="1"/>
    <n v="3903.97"/>
    <x v="0"/>
    <n v="37644.089999999997"/>
    <s v="Medium"/>
    <x v="0"/>
    <n v="51"/>
    <x v="2"/>
    <s v="Male"/>
    <s v="Checking"/>
    <x v="230"/>
    <s v="EUR"/>
    <x v="1"/>
    <n v="4.3400000000000001E-2"/>
    <n v="4.34"/>
    <s v="high"/>
    <n v="26681.654999999999"/>
    <n v="1157.983827"/>
    <n v="13"/>
    <n v="311"/>
    <x v="0"/>
    <n v="0"/>
    <s v="Good"/>
    <n v="1"/>
    <n v="5212.8900000000003"/>
    <s v="High Income"/>
    <s v="Unemployed"/>
    <s v="Without Loan"/>
    <s v="Low-Risk"/>
  </r>
  <r>
    <s v="T000272"/>
    <s v="C8339"/>
    <s v="AC81829506"/>
    <x v="215"/>
    <x v="1"/>
    <x v="0"/>
    <x v="2"/>
    <n v="4556.22"/>
    <x v="1"/>
    <n v="8379.7999999999993"/>
    <s v="Low"/>
    <x v="1"/>
    <n v="69"/>
    <x v="3"/>
    <s v="Male"/>
    <s v="Savings"/>
    <x v="117"/>
    <s v="EUR"/>
    <x v="0"/>
    <n v="4.1399999999999999E-2"/>
    <n v="4.1399999999999997"/>
    <s v="high"/>
    <n v="39985.050000000003"/>
    <n v="1655.3810700000001"/>
    <n v="19"/>
    <n v="538"/>
    <x v="0"/>
    <n v="1"/>
    <s v="Default"/>
    <n v="1"/>
    <n v="2228.35"/>
    <s v="Low Income"/>
    <s v="Unemployed"/>
    <s v="With Loan"/>
    <s v="High-Risk"/>
  </r>
  <r>
    <s v="T000273"/>
    <s v="C3205"/>
    <s v="AC56695565"/>
    <x v="28"/>
    <x v="16"/>
    <x v="8"/>
    <x v="3"/>
    <n v="5834.74"/>
    <x v="1"/>
    <n v="11644.31"/>
    <s v="Medium"/>
    <x v="3"/>
    <n v="57"/>
    <x v="2"/>
    <s v="Male"/>
    <s v="Savings"/>
    <x v="231"/>
    <s v="GBP"/>
    <x v="2"/>
    <n v="4.2999999999999997E-2"/>
    <n v="4.2999999999999997E-2"/>
    <s v="low"/>
    <n v="26681.654999999999"/>
    <n v="1147.3111649999998"/>
    <n v="13"/>
    <n v="752"/>
    <x v="4"/>
    <n v="2"/>
    <s v="Good"/>
    <n v="4"/>
    <n v="10049.700000000001"/>
    <s v="High Income"/>
    <s v="Self-employed"/>
    <s v="Without Loan"/>
    <s v="Low-Risk"/>
  </r>
  <r>
    <s v="T000274"/>
    <s v="C2069"/>
    <s v="AC77658103"/>
    <x v="143"/>
    <x v="11"/>
    <x v="0"/>
    <x v="1"/>
    <n v="7617.58"/>
    <x v="0"/>
    <n v="23735.52"/>
    <s v="Medium"/>
    <x v="4"/>
    <n v="40"/>
    <x v="1"/>
    <s v="Female"/>
    <s v="Checking"/>
    <x v="232"/>
    <s v="USD"/>
    <x v="2"/>
    <n v="3.8899999999999997E-2"/>
    <n v="3.89"/>
    <s v="low"/>
    <n v="26681.654999999999"/>
    <n v="1037.9163794999999"/>
    <n v="1"/>
    <n v="682"/>
    <x v="3"/>
    <n v="2"/>
    <s v="Good"/>
    <n v="3"/>
    <n v="7952.82"/>
    <s v="High Income"/>
    <s v="Employed"/>
    <s v="Without Loan"/>
    <s v="Low-Risk"/>
  </r>
  <r>
    <s v="T000275"/>
    <s v="C4444"/>
    <s v="AC35722525"/>
    <x v="216"/>
    <x v="4"/>
    <x v="3"/>
    <x v="1"/>
    <n v="1078.8499999999999"/>
    <x v="1"/>
    <n v="13936.21"/>
    <s v="Medium"/>
    <x v="1"/>
    <n v="46"/>
    <x v="2"/>
    <s v="Male"/>
    <s v="Credit"/>
    <x v="233"/>
    <s v="EUR"/>
    <x v="2"/>
    <n v="4.3299999999999998E-2"/>
    <n v="4.33"/>
    <s v="high"/>
    <n v="26681.654999999999"/>
    <n v="1155.3156614999998"/>
    <n v="8"/>
    <n v="347"/>
    <x v="0"/>
    <n v="2"/>
    <s v="Good"/>
    <n v="1"/>
    <n v="9373.14"/>
    <s v="High Income"/>
    <s v="Employed"/>
    <s v="Without Loan"/>
    <s v="Low-Risk"/>
  </r>
  <r>
    <s v="T000276"/>
    <s v="C2060"/>
    <s v="AC48963185"/>
    <x v="217"/>
    <x v="27"/>
    <x v="3"/>
    <x v="2"/>
    <n v="8907.56"/>
    <x v="0"/>
    <n v="21346.81"/>
    <s v="Medium"/>
    <x v="2"/>
    <n v="48"/>
    <x v="2"/>
    <s v="Female"/>
    <s v="Credit"/>
    <x v="109"/>
    <s v="GBP"/>
    <x v="1"/>
    <n v="1.7999999999999999E-2"/>
    <n v="1.7999999999999999E-2"/>
    <s v="low"/>
    <n v="26681.654999999999"/>
    <n v="480.26978999999994"/>
    <n v="17"/>
    <n v="616"/>
    <x v="2"/>
    <n v="0"/>
    <s v="Good"/>
    <n v="2"/>
    <n v="13691.41"/>
    <s v="High Income"/>
    <s v="Unemployed"/>
    <s v="Without Loan"/>
    <s v="Low-Risk"/>
  </r>
  <r>
    <s v="T000277"/>
    <s v="C3327"/>
    <s v="AC74674115"/>
    <x v="218"/>
    <x v="3"/>
    <x v="11"/>
    <x v="3"/>
    <n v="221.87"/>
    <x v="0"/>
    <n v="44534.74"/>
    <s v="Medium"/>
    <x v="0"/>
    <n v="24"/>
    <x v="4"/>
    <s v="Male"/>
    <s v="Credit"/>
    <x v="84"/>
    <s v="GBP"/>
    <x v="0"/>
    <n v="2.81E-2"/>
    <n v="2.81"/>
    <s v="low"/>
    <n v="26681.654999999999"/>
    <n v="749.75450549999994"/>
    <n v="13"/>
    <n v="508"/>
    <x v="0"/>
    <n v="1"/>
    <s v="Default"/>
    <n v="1"/>
    <n v="14609.03"/>
    <s v="High Income"/>
    <s v="Unemployed"/>
    <s v="Without Loan"/>
    <s v="Low-Risk"/>
  </r>
  <r>
    <s v="T000278"/>
    <s v="C4420"/>
    <s v="AC73813565"/>
    <x v="219"/>
    <x v="11"/>
    <x v="9"/>
    <x v="1"/>
    <n v="3763.52"/>
    <x v="0"/>
    <n v="41392.019999999997"/>
    <s v="Medium"/>
    <x v="1"/>
    <n v="57"/>
    <x v="2"/>
    <s v="Male"/>
    <s v="Checking"/>
    <x v="234"/>
    <s v="USD"/>
    <x v="0"/>
    <n v="3.7699999999999997E-2"/>
    <n v="3.77"/>
    <s v="low"/>
    <n v="26681.654999999999"/>
    <n v="1005.8983934999999"/>
    <n v="13"/>
    <n v="846"/>
    <x v="1"/>
    <n v="1"/>
    <s v="Default"/>
    <n v="5"/>
    <n v="10247.89"/>
    <s v="High Income"/>
    <s v="Employed"/>
    <s v="Without Loan"/>
    <s v="Low-Risk"/>
  </r>
  <r>
    <s v="T000279"/>
    <s v="C1301"/>
    <s v="AC56571160"/>
    <x v="157"/>
    <x v="26"/>
    <x v="1"/>
    <x v="2"/>
    <n v="371.46"/>
    <x v="0"/>
    <n v="31871.95"/>
    <s v="Medium"/>
    <x v="0"/>
    <n v="50"/>
    <x v="2"/>
    <s v="Male"/>
    <s v="Credit"/>
    <x v="235"/>
    <s v="USD"/>
    <x v="2"/>
    <n v="3.5499999999999997E-2"/>
    <n v="3.55"/>
    <s v="low"/>
    <n v="10602.74"/>
    <n v="376.39726999999993"/>
    <n v="15"/>
    <n v="418"/>
    <x v="0"/>
    <n v="2"/>
    <s v="Good"/>
    <n v="1"/>
    <n v="11932.72"/>
    <s v="High Income"/>
    <s v="Employed"/>
    <s v="With Loan"/>
    <s v="Low-Risk"/>
  </r>
  <r>
    <s v="T000280"/>
    <s v="C1606"/>
    <s v="AC86767936"/>
    <x v="213"/>
    <x v="23"/>
    <x v="5"/>
    <x v="1"/>
    <n v="3990.44"/>
    <x v="0"/>
    <n v="43047.9"/>
    <s v="Medium"/>
    <x v="2"/>
    <n v="38"/>
    <x v="1"/>
    <s v="Female"/>
    <s v="Credit"/>
    <x v="236"/>
    <s v="GBP"/>
    <x v="0"/>
    <n v="3.8699999999999998E-2"/>
    <n v="3.87"/>
    <s v="low"/>
    <n v="48677"/>
    <n v="1883.7999"/>
    <n v="18"/>
    <n v="614"/>
    <x v="2"/>
    <n v="1"/>
    <s v="Default"/>
    <n v="2"/>
    <n v="3089.51"/>
    <s v="Middle Income"/>
    <s v="Employed"/>
    <s v="With Loan"/>
    <s v="Low-Risk"/>
  </r>
  <r>
    <s v="T000281"/>
    <s v="C4170"/>
    <s v="AC27562548"/>
    <x v="220"/>
    <x v="28"/>
    <x v="11"/>
    <x v="0"/>
    <n v="5305.54"/>
    <x v="0"/>
    <n v="39404.85"/>
    <s v="Medium"/>
    <x v="4"/>
    <n v="19"/>
    <x v="4"/>
    <s v="Male"/>
    <s v="Checking"/>
    <x v="237"/>
    <s v="USD"/>
    <x v="1"/>
    <n v="1.9E-2"/>
    <n v="1.9E-2"/>
    <s v="low"/>
    <n v="29971.919999999998"/>
    <n v="569.46647999999993"/>
    <n v="7"/>
    <n v="335"/>
    <x v="0"/>
    <n v="0"/>
    <s v="Good"/>
    <n v="1"/>
    <n v="4089.3"/>
    <s v="Middle Income"/>
    <s v="Self-employed"/>
    <s v="With Loan"/>
    <s v="Low-Risk"/>
  </r>
  <r>
    <s v="T000282"/>
    <s v="C1699"/>
    <s v="AC91485805"/>
    <x v="221"/>
    <x v="0"/>
    <x v="8"/>
    <x v="2"/>
    <n v="5165.6499999999996"/>
    <x v="0"/>
    <n v="22020.26"/>
    <s v="Medium"/>
    <x v="4"/>
    <n v="35"/>
    <x v="0"/>
    <s v="Male"/>
    <s v="Savings"/>
    <x v="238"/>
    <s v="USD"/>
    <x v="2"/>
    <n v="1.3899999999999999E-2"/>
    <n v="1.39"/>
    <s v="low"/>
    <n v="26681.654999999999"/>
    <n v="370.87500449999999"/>
    <n v="16"/>
    <n v="762"/>
    <x v="4"/>
    <n v="2"/>
    <s v="Good"/>
    <n v="4"/>
    <n v="11531.66"/>
    <s v="High Income"/>
    <s v="Self-employed"/>
    <s v="Without Loan"/>
    <s v="Low-Risk"/>
  </r>
  <r>
    <s v="T000283"/>
    <s v="C6088"/>
    <s v="AC69488206"/>
    <x v="222"/>
    <x v="28"/>
    <x v="2"/>
    <x v="3"/>
    <n v="1739.72"/>
    <x v="1"/>
    <n v="10852.19"/>
    <s v="Medium"/>
    <x v="2"/>
    <n v="64"/>
    <x v="3"/>
    <s v="Female"/>
    <s v="Checking"/>
    <x v="119"/>
    <s v="GBP"/>
    <x v="2"/>
    <n v="4.6699999999999998E-2"/>
    <n v="4.67"/>
    <s v="high"/>
    <n v="26681.654999999999"/>
    <n v="1246.0332884999998"/>
    <n v="7"/>
    <n v="702"/>
    <x v="3"/>
    <n v="2"/>
    <s v="Good"/>
    <n v="3"/>
    <n v="7607.75"/>
    <s v="High Income"/>
    <s v="Unemployed"/>
    <s v="Without Loan"/>
    <s v="Low-Risk"/>
  </r>
  <r>
    <s v="T000284"/>
    <s v="C1190"/>
    <s v="AC77506574"/>
    <x v="223"/>
    <x v="9"/>
    <x v="2"/>
    <x v="3"/>
    <n v="6492.83"/>
    <x v="0"/>
    <n v="26195.85"/>
    <s v="Medium"/>
    <x v="0"/>
    <n v="50"/>
    <x v="2"/>
    <s v="Female"/>
    <s v="Checking"/>
    <x v="239"/>
    <s v="GBP"/>
    <x v="2"/>
    <n v="3.2399999999999998E-2"/>
    <n v="3.24"/>
    <s v="low"/>
    <n v="26681.654999999999"/>
    <n v="864.48562199999992"/>
    <n v="17"/>
    <n v="406"/>
    <x v="0"/>
    <n v="2"/>
    <s v="Good"/>
    <n v="1"/>
    <n v="7797.55"/>
    <s v="High Income"/>
    <s v="Self-employed"/>
    <s v="Without Loan"/>
    <s v="Low-Risk"/>
  </r>
  <r>
    <s v="T000285"/>
    <s v="C1980"/>
    <s v="AC50057648"/>
    <x v="224"/>
    <x v="6"/>
    <x v="5"/>
    <x v="3"/>
    <n v="543.30999999999995"/>
    <x v="0"/>
    <n v="37075.22"/>
    <s v="Medium"/>
    <x v="1"/>
    <n v="54"/>
    <x v="2"/>
    <s v="Female"/>
    <s v="Checking"/>
    <x v="240"/>
    <s v="USD"/>
    <x v="1"/>
    <n v="1.6199999999999999E-2"/>
    <n v="1.62"/>
    <s v="low"/>
    <n v="33484.97"/>
    <n v="542.45651399999997"/>
    <n v="4"/>
    <n v="338"/>
    <x v="0"/>
    <n v="0"/>
    <s v="Good"/>
    <n v="1"/>
    <n v="6011.9"/>
    <s v="High Income"/>
    <s v="Unemployed"/>
    <s v="With Loan"/>
    <s v="High-Risk"/>
  </r>
  <r>
    <s v="T000286"/>
    <s v="C3975"/>
    <s v="AC81425912"/>
    <x v="225"/>
    <x v="0"/>
    <x v="3"/>
    <x v="3"/>
    <n v="7642.88"/>
    <x v="0"/>
    <n v="22384.560000000001"/>
    <s v="Medium"/>
    <x v="2"/>
    <n v="51"/>
    <x v="2"/>
    <s v="Female"/>
    <s v="Checking"/>
    <x v="241"/>
    <s v="EUR"/>
    <x v="2"/>
    <n v="4.1700000000000001E-2"/>
    <n v="4.17"/>
    <s v="high"/>
    <n v="26681.654999999999"/>
    <n v="1112.6250135"/>
    <n v="12"/>
    <n v="479"/>
    <x v="0"/>
    <n v="2"/>
    <s v="Good"/>
    <n v="1"/>
    <n v="9895.6299999999992"/>
    <s v="High Income"/>
    <s v="Employed"/>
    <s v="Without Loan"/>
    <s v="Low-Risk"/>
  </r>
  <r>
    <s v="T000287"/>
    <s v="C7102"/>
    <s v="AC91242298"/>
    <x v="226"/>
    <x v="29"/>
    <x v="0"/>
    <x v="1"/>
    <n v="9471.7800000000007"/>
    <x v="0"/>
    <n v="33671.82"/>
    <s v="Medium"/>
    <x v="3"/>
    <n v="37"/>
    <x v="1"/>
    <s v="Male"/>
    <s v="Savings"/>
    <x v="242"/>
    <s v="USD"/>
    <x v="2"/>
    <n v="4.6600000000000003E-2"/>
    <n v="4.66"/>
    <s v="high"/>
    <n v="15935.09"/>
    <n v="742.57519400000001"/>
    <n v="13"/>
    <n v="311"/>
    <x v="0"/>
    <n v="2"/>
    <s v="Good"/>
    <n v="1"/>
    <n v="4407.1499999999996"/>
    <s v="Middle Income"/>
    <s v="Employed"/>
    <s v="With Loan"/>
    <s v="Low-Risk"/>
  </r>
  <r>
    <s v="T000288"/>
    <s v="C2184"/>
    <s v="AC63520377"/>
    <x v="227"/>
    <x v="20"/>
    <x v="0"/>
    <x v="1"/>
    <n v="3463.71"/>
    <x v="1"/>
    <n v="5622.04"/>
    <s v="Low"/>
    <x v="0"/>
    <n v="52"/>
    <x v="2"/>
    <s v="Female"/>
    <s v="Credit"/>
    <x v="243"/>
    <s v="EUR"/>
    <x v="2"/>
    <n v="1.6799999999999999E-2"/>
    <n v="1.68"/>
    <s v="low"/>
    <n v="26681.654999999999"/>
    <n v="448.25180399999994"/>
    <n v="4"/>
    <n v="638"/>
    <x v="2"/>
    <n v="2"/>
    <s v="Good"/>
    <n v="2"/>
    <n v="10149.91"/>
    <s v="High Income"/>
    <s v="Unemployed"/>
    <s v="Without Loan"/>
    <s v="Low-Risk"/>
  </r>
  <r>
    <s v="T000289"/>
    <s v="C4327"/>
    <s v="AC81894820"/>
    <x v="228"/>
    <x v="29"/>
    <x v="1"/>
    <x v="3"/>
    <n v="5220.67"/>
    <x v="0"/>
    <n v="37652.230000000003"/>
    <s v="Medium"/>
    <x v="4"/>
    <n v="68"/>
    <x v="3"/>
    <s v="Male"/>
    <s v="Checking"/>
    <x v="244"/>
    <s v="GBP"/>
    <x v="2"/>
    <n v="4.2700000000000002E-2"/>
    <n v="4.2699999999999996"/>
    <s v="high"/>
    <n v="26681.654999999999"/>
    <n v="1139.3066684999999"/>
    <n v="21"/>
    <n v="847"/>
    <x v="1"/>
    <n v="2"/>
    <s v="Good"/>
    <n v="5"/>
    <n v="4259.3900000000003"/>
    <s v="Middle Income"/>
    <s v="Employed"/>
    <s v="Without Loan"/>
    <s v="Low-Risk"/>
  </r>
  <r>
    <s v="T000290"/>
    <s v="C4394"/>
    <s v="AC31882940"/>
    <x v="128"/>
    <x v="15"/>
    <x v="4"/>
    <x v="3"/>
    <n v="3851.21"/>
    <x v="0"/>
    <n v="40822.97"/>
    <s v="Medium"/>
    <x v="2"/>
    <n v="67"/>
    <x v="3"/>
    <s v="Male"/>
    <s v="Savings"/>
    <x v="60"/>
    <s v="EUR"/>
    <x v="0"/>
    <n v="4.7300000000000002E-2"/>
    <n v="4.7300000000000004"/>
    <s v="high"/>
    <n v="43478.99"/>
    <n v="2056.556227"/>
    <n v="1"/>
    <n v="425"/>
    <x v="0"/>
    <n v="1"/>
    <s v="Default"/>
    <n v="1"/>
    <n v="2829.74"/>
    <s v="Low Income"/>
    <s v="Unemployed"/>
    <s v="With Loan"/>
    <s v="High-Risk"/>
  </r>
  <r>
    <s v="T000291"/>
    <s v="C9319"/>
    <s v="AC48580196"/>
    <x v="229"/>
    <x v="16"/>
    <x v="7"/>
    <x v="3"/>
    <n v="166.43"/>
    <x v="0"/>
    <n v="35635.050000000003"/>
    <s v="Medium"/>
    <x v="4"/>
    <n v="35"/>
    <x v="0"/>
    <s v="Female"/>
    <s v="Credit"/>
    <x v="245"/>
    <s v="GBP"/>
    <x v="2"/>
    <n v="4.7500000000000001E-2"/>
    <n v="4.75"/>
    <s v="high"/>
    <n v="34617.31"/>
    <n v="1644.3222249999999"/>
    <n v="13"/>
    <n v="362"/>
    <x v="0"/>
    <n v="2"/>
    <s v="Good"/>
    <n v="1"/>
    <n v="6294.65"/>
    <s v="High Income"/>
    <s v="Unemployed"/>
    <s v="With Loan"/>
    <s v="High-Risk"/>
  </r>
  <r>
    <s v="T000292"/>
    <s v="C2816"/>
    <s v="AC58665285"/>
    <x v="230"/>
    <x v="19"/>
    <x v="0"/>
    <x v="1"/>
    <n v="3920.16"/>
    <x v="0"/>
    <n v="48395.92"/>
    <s v="Medium"/>
    <x v="0"/>
    <n v="63"/>
    <x v="3"/>
    <s v="Male"/>
    <s v="Credit"/>
    <x v="4"/>
    <s v="USD"/>
    <x v="1"/>
    <n v="4.6600000000000003E-2"/>
    <n v="4.66"/>
    <s v="high"/>
    <n v="24549.05"/>
    <n v="1143.9857300000001"/>
    <n v="7"/>
    <n v="381"/>
    <x v="0"/>
    <n v="0"/>
    <s v="Good"/>
    <n v="1"/>
    <n v="5004.82"/>
    <s v="High Income"/>
    <s v="Unemployed"/>
    <s v="With Loan"/>
    <s v="Low-Risk"/>
  </r>
  <r>
    <s v="T000293"/>
    <s v="C6854"/>
    <s v="AC68327846"/>
    <x v="231"/>
    <x v="0"/>
    <x v="6"/>
    <x v="3"/>
    <n v="7938.03"/>
    <x v="0"/>
    <n v="41505.949999999997"/>
    <s v="Medium"/>
    <x v="4"/>
    <n v="41"/>
    <x v="1"/>
    <s v="Female"/>
    <s v="Credit"/>
    <x v="246"/>
    <s v="USD"/>
    <x v="2"/>
    <n v="3.1899999999999998E-2"/>
    <n v="3.19"/>
    <s v="low"/>
    <n v="20589.48"/>
    <n v="656.80441199999996"/>
    <n v="13"/>
    <n v="598"/>
    <x v="2"/>
    <n v="2"/>
    <s v="Good"/>
    <n v="2"/>
    <n v="13556.89"/>
    <s v="High Income"/>
    <s v="Self-employed"/>
    <s v="With Loan"/>
    <s v="Low-Risk"/>
  </r>
  <r>
    <s v="T000294"/>
    <s v="C7709"/>
    <s v="AC27687991"/>
    <x v="232"/>
    <x v="19"/>
    <x v="11"/>
    <x v="3"/>
    <n v="6000.29"/>
    <x v="0"/>
    <n v="45251.59"/>
    <s v="Medium"/>
    <x v="2"/>
    <n v="25"/>
    <x v="4"/>
    <s v="Male"/>
    <s v="Checking"/>
    <x v="55"/>
    <s v="GBP"/>
    <x v="2"/>
    <n v="2.4199999999999999E-2"/>
    <n v="2.42"/>
    <s v="low"/>
    <n v="5866.2"/>
    <n v="141.96204"/>
    <n v="13"/>
    <n v="333"/>
    <x v="0"/>
    <n v="2"/>
    <s v="Good"/>
    <n v="1"/>
    <n v="2714.39"/>
    <s v="Low Income"/>
    <s v="Unemployed"/>
    <s v="With Loan"/>
    <s v="Low-Risk"/>
  </r>
  <r>
    <s v="T000295"/>
    <s v="C1569"/>
    <s v="AC49509310"/>
    <x v="233"/>
    <x v="12"/>
    <x v="3"/>
    <x v="0"/>
    <n v="1102.47"/>
    <x v="0"/>
    <n v="46744.98"/>
    <s v="Medium"/>
    <x v="0"/>
    <n v="47"/>
    <x v="2"/>
    <s v="Female"/>
    <s v="Checking"/>
    <x v="247"/>
    <s v="GBP"/>
    <x v="0"/>
    <n v="1.03E-2"/>
    <n v="1.03"/>
    <s v="low"/>
    <n v="42134.67"/>
    <n v="433.987101"/>
    <n v="13"/>
    <n v="348"/>
    <x v="0"/>
    <n v="1"/>
    <s v="Default"/>
    <n v="1"/>
    <n v="4295.9799999999996"/>
    <s v="Middle Income"/>
    <s v="Unemployed"/>
    <s v="With Loan"/>
    <s v="High-Risk"/>
  </r>
  <r>
    <s v="T000296"/>
    <s v="C6442"/>
    <s v="AC41061293"/>
    <x v="234"/>
    <x v="28"/>
    <x v="0"/>
    <x v="0"/>
    <n v="8486.68"/>
    <x v="0"/>
    <n v="40266.050000000003"/>
    <s v="Medium"/>
    <x v="3"/>
    <n v="61"/>
    <x v="3"/>
    <s v="Female"/>
    <s v="Credit"/>
    <x v="239"/>
    <s v="GBP"/>
    <x v="2"/>
    <n v="1.24E-2"/>
    <n v="1.24"/>
    <s v="low"/>
    <n v="26681.654999999999"/>
    <n v="330.85252199999996"/>
    <n v="18"/>
    <n v="356"/>
    <x v="0"/>
    <n v="2"/>
    <s v="Good"/>
    <n v="1"/>
    <n v="9133.35"/>
    <s v="High Income"/>
    <s v="Unemployed"/>
    <s v="Without Loan"/>
    <s v="Low-Risk"/>
  </r>
  <r>
    <s v="T000297"/>
    <s v="C2895"/>
    <s v="AC40272855"/>
    <x v="235"/>
    <x v="10"/>
    <x v="9"/>
    <x v="3"/>
    <n v="5357.74"/>
    <x v="0"/>
    <n v="34038.68"/>
    <s v="Medium"/>
    <x v="2"/>
    <n v="27"/>
    <x v="0"/>
    <s v="Female"/>
    <s v="Credit"/>
    <x v="160"/>
    <s v="USD"/>
    <x v="0"/>
    <n v="2.7199999999999998E-2"/>
    <n v="2.72"/>
    <s v="low"/>
    <n v="18929.39"/>
    <n v="514.87940800000001"/>
    <n v="13"/>
    <n v="408"/>
    <x v="0"/>
    <n v="1"/>
    <s v="Default"/>
    <n v="1"/>
    <n v="8253.8700000000008"/>
    <s v="High Income"/>
    <s v="Self-employed"/>
    <s v="With Loan"/>
    <s v="Low-Risk"/>
  </r>
  <r>
    <s v="T000298"/>
    <s v="C3733"/>
    <s v="AC94445004"/>
    <x v="178"/>
    <x v="16"/>
    <x v="5"/>
    <x v="2"/>
    <n v="8433.06"/>
    <x v="1"/>
    <n v="1280.21"/>
    <s v="Low"/>
    <x v="1"/>
    <n v="40"/>
    <x v="1"/>
    <s v="Female"/>
    <s v="Credit"/>
    <x v="248"/>
    <s v="USD"/>
    <x v="1"/>
    <n v="2.5999999999999999E-2"/>
    <n v="2.5999999999999999E-2"/>
    <s v="low"/>
    <n v="26681.654999999999"/>
    <n v="693.72302999999999"/>
    <n v="15"/>
    <n v="816"/>
    <x v="1"/>
    <n v="0"/>
    <s v="Good"/>
    <n v="5"/>
    <n v="2596.08"/>
    <s v="Low Income"/>
    <s v="Employed"/>
    <s v="Without Loan"/>
    <s v="Low-Risk"/>
  </r>
  <r>
    <s v="T000299"/>
    <s v="C4863"/>
    <s v="AC97767265"/>
    <x v="24"/>
    <x v="6"/>
    <x v="1"/>
    <x v="3"/>
    <n v="5844.19"/>
    <x v="0"/>
    <n v="23825.46"/>
    <s v="Medium"/>
    <x v="2"/>
    <n v="69"/>
    <x v="3"/>
    <s v="Female"/>
    <s v="Credit"/>
    <x v="249"/>
    <s v="EUR"/>
    <x v="0"/>
    <n v="1.7399999999999999E-2"/>
    <n v="1.74"/>
    <s v="low"/>
    <n v="26681.654999999999"/>
    <n v="464.26079699999997"/>
    <n v="13"/>
    <n v="323"/>
    <x v="0"/>
    <n v="1"/>
    <s v="Default"/>
    <n v="1"/>
    <n v="2094.2800000000002"/>
    <s v="Low Income"/>
    <s v="Self-employed"/>
    <s v="Without Loan"/>
    <s v="Low-Risk"/>
  </r>
  <r>
    <s v="T000300"/>
    <s v="C8455"/>
    <s v="AC56316696"/>
    <x v="137"/>
    <x v="4"/>
    <x v="5"/>
    <x v="0"/>
    <n v="5640.92"/>
    <x v="0"/>
    <n v="28986.95"/>
    <s v="Medium"/>
    <x v="0"/>
    <n v="66"/>
    <x v="3"/>
    <s v="Female"/>
    <s v="Credit"/>
    <x v="140"/>
    <s v="GBP"/>
    <x v="2"/>
    <n v="2.58E-2"/>
    <n v="2.58"/>
    <s v="low"/>
    <n v="26681.654999999999"/>
    <n v="688.38669900000002"/>
    <n v="2"/>
    <n v="520"/>
    <x v="0"/>
    <n v="2"/>
    <s v="Good"/>
    <n v="1"/>
    <n v="14844.88"/>
    <s v="High Income"/>
    <s v="Unemployed"/>
    <s v="Without Loan"/>
    <s v="Low-Risk"/>
  </r>
  <r>
    <s v="T000301"/>
    <s v="C5014"/>
    <s v="AC20679043"/>
    <x v="236"/>
    <x v="20"/>
    <x v="8"/>
    <x v="2"/>
    <n v="1142.07"/>
    <x v="1"/>
    <n v="15897.48"/>
    <s v="Medium"/>
    <x v="2"/>
    <n v="28"/>
    <x v="0"/>
    <s v="Male"/>
    <s v="Credit"/>
    <x v="250"/>
    <s v="EUR"/>
    <x v="1"/>
    <n v="1.7000000000000001E-2"/>
    <n v="1.7000000000000001E-2"/>
    <s v="low"/>
    <n v="26681.654999999999"/>
    <n v="453.58813500000002"/>
    <n v="9"/>
    <n v="614"/>
    <x v="2"/>
    <n v="0"/>
    <s v="Good"/>
    <n v="2"/>
    <n v="10564.85"/>
    <s v="High Income"/>
    <s v="Self-employed"/>
    <s v="Without Loan"/>
    <s v="Low-Risk"/>
  </r>
  <r>
    <s v="T000302"/>
    <s v="C2686"/>
    <s v="AC65498298"/>
    <x v="237"/>
    <x v="16"/>
    <x v="1"/>
    <x v="2"/>
    <n v="1756.86"/>
    <x v="1"/>
    <n v="16587.12"/>
    <s v="Medium"/>
    <x v="3"/>
    <n v="19"/>
    <x v="4"/>
    <s v="Male"/>
    <s v="Savings"/>
    <x v="251"/>
    <s v="USD"/>
    <x v="2"/>
    <n v="4.3999999999999997E-2"/>
    <n v="4.3999999999999997E-2"/>
    <s v="low"/>
    <n v="26681.654999999999"/>
    <n v="1173.9928199999999"/>
    <n v="13"/>
    <n v="593"/>
    <x v="2"/>
    <n v="2"/>
    <s v="Good"/>
    <n v="2"/>
    <n v="6750.28"/>
    <s v="High Income"/>
    <s v="Employed"/>
    <s v="Without Loan"/>
    <s v="Low-Risk"/>
  </r>
  <r>
    <s v="T000303"/>
    <s v="C4009"/>
    <s v="AC32470291"/>
    <x v="238"/>
    <x v="25"/>
    <x v="11"/>
    <x v="3"/>
    <n v="9723.0499999999993"/>
    <x v="0"/>
    <n v="48096.81"/>
    <s v="Medium"/>
    <x v="3"/>
    <n v="43"/>
    <x v="1"/>
    <s v="Male"/>
    <s v="Credit"/>
    <x v="252"/>
    <s v="EUR"/>
    <x v="0"/>
    <n v="2.1899999999999999E-2"/>
    <n v="2.19"/>
    <s v="low"/>
    <n v="47703.98"/>
    <n v="1044.7171620000001"/>
    <n v="13"/>
    <n v="309"/>
    <x v="0"/>
    <n v="1"/>
    <s v="Default"/>
    <n v="1"/>
    <n v="8115.62"/>
    <s v="High Income"/>
    <s v="Employed"/>
    <s v="With Loan"/>
    <s v="High-Risk"/>
  </r>
  <r>
    <s v="T000304"/>
    <s v="C8806"/>
    <s v="AC60763061"/>
    <x v="239"/>
    <x v="13"/>
    <x v="1"/>
    <x v="0"/>
    <n v="2362.02"/>
    <x v="0"/>
    <n v="44693.83"/>
    <s v="Medium"/>
    <x v="1"/>
    <n v="53"/>
    <x v="2"/>
    <s v="Female"/>
    <s v="Checking"/>
    <x v="253"/>
    <s v="EUR"/>
    <x v="1"/>
    <n v="3.39E-2"/>
    <n v="3.39"/>
    <s v="low"/>
    <n v="43137.53"/>
    <n v="1462.362267"/>
    <n v="23"/>
    <n v="780"/>
    <x v="4"/>
    <n v="0"/>
    <s v="Good"/>
    <n v="4"/>
    <n v="5465.15"/>
    <s v="High Income"/>
    <s v="Unemployed"/>
    <s v="With Loan"/>
    <s v="Low-Risk"/>
  </r>
  <r>
    <s v="T000305"/>
    <s v="C1154"/>
    <s v="AC70072820"/>
    <x v="63"/>
    <x v="27"/>
    <x v="6"/>
    <x v="0"/>
    <n v="9776.7800000000007"/>
    <x v="0"/>
    <n v="42609.77"/>
    <s v="Medium"/>
    <x v="4"/>
    <n v="50"/>
    <x v="2"/>
    <s v="Male"/>
    <s v="Checking"/>
    <x v="254"/>
    <s v="USD"/>
    <x v="1"/>
    <n v="3.0099999999999998E-2"/>
    <n v="3.01"/>
    <s v="low"/>
    <n v="19986.77"/>
    <n v="601.60177699999997"/>
    <n v="13"/>
    <n v="566"/>
    <x v="0"/>
    <n v="0"/>
    <s v="Good"/>
    <n v="1"/>
    <n v="6483.36"/>
    <s v="High Income"/>
    <s v="Employed"/>
    <s v="With Loan"/>
    <s v="Low-Risk"/>
  </r>
  <r>
    <s v="T000306"/>
    <s v="C2409"/>
    <s v="AC87921522"/>
    <x v="240"/>
    <x v="29"/>
    <x v="3"/>
    <x v="2"/>
    <n v="5365.94"/>
    <x v="0"/>
    <n v="20894.580000000002"/>
    <s v="Medium"/>
    <x v="0"/>
    <n v="64"/>
    <x v="3"/>
    <s v="Female"/>
    <s v="Checking"/>
    <x v="255"/>
    <s v="USD"/>
    <x v="0"/>
    <n v="1.21E-2"/>
    <n v="1.21"/>
    <s v="low"/>
    <n v="26681.654999999999"/>
    <n v="322.84802549999995"/>
    <n v="11"/>
    <n v="387"/>
    <x v="0"/>
    <n v="1"/>
    <s v="Default"/>
    <n v="1"/>
    <n v="10437.58"/>
    <s v="High Income"/>
    <s v="Self-employed"/>
    <s v="Without Loan"/>
    <s v="Low-Risk"/>
  </r>
  <r>
    <s v="T000307"/>
    <s v="C1784"/>
    <s v="AC64496748"/>
    <x v="241"/>
    <x v="1"/>
    <x v="11"/>
    <x v="3"/>
    <n v="1444.31"/>
    <x v="1"/>
    <n v="1671.23"/>
    <s v="Low"/>
    <x v="0"/>
    <n v="30"/>
    <x v="0"/>
    <s v="Male"/>
    <s v="Credit"/>
    <x v="256"/>
    <s v="GBP"/>
    <x v="0"/>
    <n v="4.7699999999999999E-2"/>
    <n v="4.7699999999999996"/>
    <s v="high"/>
    <n v="24049.7"/>
    <n v="1147.1706899999999"/>
    <n v="13"/>
    <n v="754"/>
    <x v="4"/>
    <n v="1"/>
    <s v="Default"/>
    <n v="4"/>
    <n v="13476.55"/>
    <s v="High Income"/>
    <s v="Self-employed"/>
    <s v="With Loan"/>
    <s v="Low-Risk"/>
  </r>
  <r>
    <s v="T000308"/>
    <s v="C9096"/>
    <s v="AC61195209"/>
    <x v="242"/>
    <x v="23"/>
    <x v="9"/>
    <x v="1"/>
    <n v="1083.0899999999999"/>
    <x v="1"/>
    <n v="4930.8900000000003"/>
    <s v="Low"/>
    <x v="4"/>
    <n v="57"/>
    <x v="2"/>
    <s v="Male"/>
    <s v="Checking"/>
    <x v="257"/>
    <s v="EUR"/>
    <x v="1"/>
    <n v="3.1099999999999999E-2"/>
    <n v="3.11"/>
    <s v="low"/>
    <n v="26681.654999999999"/>
    <n v="829.79947049999998"/>
    <n v="11"/>
    <n v="832"/>
    <x v="1"/>
    <n v="0"/>
    <s v="Good"/>
    <n v="5"/>
    <n v="4393.6899999999996"/>
    <s v="Middle Income"/>
    <s v="Employed"/>
    <s v="Without Loan"/>
    <s v="Low-Risk"/>
  </r>
  <r>
    <s v="T000309"/>
    <s v="C8560"/>
    <s v="AC77411050"/>
    <x v="243"/>
    <x v="11"/>
    <x v="1"/>
    <x v="1"/>
    <n v="2167.75"/>
    <x v="1"/>
    <n v="16297.62"/>
    <s v="Medium"/>
    <x v="3"/>
    <n v="42"/>
    <x v="1"/>
    <s v="Female"/>
    <s v="Savings"/>
    <x v="258"/>
    <s v="USD"/>
    <x v="1"/>
    <n v="2.3E-2"/>
    <n v="2.3E-2"/>
    <s v="low"/>
    <n v="26681.654999999999"/>
    <n v="613.67806499999995"/>
    <n v="13"/>
    <n v="447"/>
    <x v="0"/>
    <n v="0"/>
    <s v="Good"/>
    <n v="1"/>
    <n v="12924.7"/>
    <s v="High Income"/>
    <s v="Unemployed"/>
    <s v="Without Loan"/>
    <s v="Low-Risk"/>
  </r>
  <r>
    <s v="T000310"/>
    <s v="C8343"/>
    <s v="AC97093473"/>
    <x v="243"/>
    <x v="11"/>
    <x v="1"/>
    <x v="0"/>
    <n v="9263.81"/>
    <x v="1"/>
    <n v="1771.4"/>
    <s v="Low"/>
    <x v="3"/>
    <n v="21"/>
    <x v="4"/>
    <s v="Male"/>
    <s v="Credit"/>
    <x v="259"/>
    <s v="USD"/>
    <x v="0"/>
    <n v="1.6299999999999999E-2"/>
    <n v="1.63"/>
    <s v="low"/>
    <n v="26681.654999999999"/>
    <n v="434.91097649999995"/>
    <n v="8"/>
    <n v="730"/>
    <x v="3"/>
    <n v="1"/>
    <s v="Default"/>
    <n v="3"/>
    <n v="3580.24"/>
    <s v="Middle Income"/>
    <s v="Unemployed"/>
    <s v="Without Loan"/>
    <s v="Low-Risk"/>
  </r>
  <r>
    <s v="T000311"/>
    <s v="C8206"/>
    <s v="AC49043896"/>
    <x v="119"/>
    <x v="20"/>
    <x v="1"/>
    <x v="1"/>
    <n v="4200.09"/>
    <x v="1"/>
    <n v="1840.34"/>
    <s v="Low"/>
    <x v="2"/>
    <n v="59"/>
    <x v="2"/>
    <s v="Male"/>
    <s v="Checking"/>
    <x v="260"/>
    <s v="EUR"/>
    <x v="2"/>
    <n v="2.35E-2"/>
    <n v="2.35"/>
    <s v="low"/>
    <n v="26681.654999999999"/>
    <n v="627.01889249999999"/>
    <n v="7"/>
    <n v="541"/>
    <x v="0"/>
    <n v="2"/>
    <s v="Good"/>
    <n v="1"/>
    <n v="4794.8999999999996"/>
    <s v="Middle Income"/>
    <s v="Self-employed"/>
    <s v="Without Loan"/>
    <s v="Low-Risk"/>
  </r>
  <r>
    <s v="T000312"/>
    <s v="C6596"/>
    <s v="AC17456985"/>
    <x v="244"/>
    <x v="21"/>
    <x v="8"/>
    <x v="0"/>
    <n v="4014.8"/>
    <x v="0"/>
    <n v="45913.56"/>
    <s v="Medium"/>
    <x v="1"/>
    <n v="36"/>
    <x v="1"/>
    <s v="Male"/>
    <s v="Savings"/>
    <x v="12"/>
    <s v="USD"/>
    <x v="1"/>
    <n v="1.0800000000000001E-2"/>
    <n v="1.08"/>
    <s v="low"/>
    <n v="22973.07"/>
    <n v="248.10915600000001"/>
    <n v="25"/>
    <n v="365"/>
    <x v="0"/>
    <n v="0"/>
    <s v="Good"/>
    <n v="1"/>
    <n v="2483.2800000000002"/>
    <s v="Low Income"/>
    <s v="Employed"/>
    <s v="With Loan"/>
    <s v="Low-Risk"/>
  </r>
  <r>
    <s v="T000313"/>
    <s v="C6801"/>
    <s v="AC33544744"/>
    <x v="245"/>
    <x v="19"/>
    <x v="3"/>
    <x v="0"/>
    <n v="3200.74"/>
    <x v="0"/>
    <n v="35601.769999999997"/>
    <s v="Medium"/>
    <x v="1"/>
    <n v="35"/>
    <x v="0"/>
    <s v="Female"/>
    <s v="Savings"/>
    <x v="261"/>
    <s v="GBP"/>
    <x v="0"/>
    <n v="2.4500000000000001E-2"/>
    <n v="2.4500000000000002"/>
    <s v="low"/>
    <n v="34025.440000000002"/>
    <n v="833.62328000000014"/>
    <n v="16"/>
    <n v="677"/>
    <x v="3"/>
    <n v="1"/>
    <s v="Default"/>
    <n v="3"/>
    <n v="3830.55"/>
    <s v="Middle Income"/>
    <s v="Self-employed"/>
    <s v="With Loan"/>
    <s v="Low-Risk"/>
  </r>
  <r>
    <s v="T000314"/>
    <s v="C3806"/>
    <s v="AC94912633"/>
    <x v="246"/>
    <x v="18"/>
    <x v="6"/>
    <x v="0"/>
    <n v="1555.91"/>
    <x v="1"/>
    <n v="16138.84"/>
    <s v="Medium"/>
    <x v="1"/>
    <n v="54"/>
    <x v="2"/>
    <s v="Male"/>
    <s v="Checking"/>
    <x v="195"/>
    <s v="GBP"/>
    <x v="2"/>
    <n v="3.1300000000000001E-2"/>
    <n v="3.13"/>
    <s v="low"/>
    <n v="22793.23"/>
    <n v="713.42809899999997"/>
    <n v="13"/>
    <n v="687"/>
    <x v="3"/>
    <n v="2"/>
    <s v="Good"/>
    <n v="3"/>
    <n v="13924.94"/>
    <s v="High Income"/>
    <s v="Self-employed"/>
    <s v="With Loan"/>
    <s v="Low-Risk"/>
  </r>
  <r>
    <s v="T000315"/>
    <s v="C1537"/>
    <s v="AC68865527"/>
    <x v="246"/>
    <x v="18"/>
    <x v="6"/>
    <x v="1"/>
    <n v="4929.7299999999996"/>
    <x v="1"/>
    <n v="7499.58"/>
    <s v="Low"/>
    <x v="2"/>
    <n v="47"/>
    <x v="2"/>
    <s v="Female"/>
    <s v="Savings"/>
    <x v="262"/>
    <s v="EUR"/>
    <x v="1"/>
    <n v="4.4900000000000002E-2"/>
    <n v="4.49"/>
    <s v="high"/>
    <n v="41800.81"/>
    <n v="1876.8563690000001"/>
    <n v="13"/>
    <n v="508"/>
    <x v="0"/>
    <n v="0"/>
    <s v="Good"/>
    <n v="1"/>
    <n v="7972.7"/>
    <s v="High Income"/>
    <s v="Self-employed"/>
    <s v="With Loan"/>
    <s v="High-Risk"/>
  </r>
  <r>
    <s v="T000316"/>
    <s v="C6986"/>
    <s v="AC37381509"/>
    <x v="247"/>
    <x v="5"/>
    <x v="11"/>
    <x v="0"/>
    <n v="1387.47"/>
    <x v="0"/>
    <n v="26070.15"/>
    <s v="Medium"/>
    <x v="1"/>
    <n v="36"/>
    <x v="1"/>
    <s v="Male"/>
    <s v="Checking"/>
    <x v="173"/>
    <s v="GBP"/>
    <x v="1"/>
    <n v="3.7499999999999999E-2"/>
    <n v="3.75"/>
    <s v="low"/>
    <n v="30552.84"/>
    <n v="1145.7314999999999"/>
    <n v="13"/>
    <n v="714"/>
    <x v="3"/>
    <n v="0"/>
    <s v="Good"/>
    <n v="3"/>
    <n v="3009.66"/>
    <s v="Middle Income"/>
    <s v="Unemployed"/>
    <s v="With Loan"/>
    <s v="Low-Risk"/>
  </r>
  <r>
    <s v="T000317"/>
    <s v="C2841"/>
    <s v="AC93836420"/>
    <x v="163"/>
    <x v="28"/>
    <x v="7"/>
    <x v="2"/>
    <n v="8371.25"/>
    <x v="1"/>
    <n v="1261.96"/>
    <s v="Low"/>
    <x v="4"/>
    <n v="40"/>
    <x v="1"/>
    <s v="Male"/>
    <s v="Savings"/>
    <x v="263"/>
    <s v="USD"/>
    <x v="0"/>
    <n v="1.4500000000000001E-2"/>
    <n v="1.45"/>
    <s v="low"/>
    <n v="26681.654999999999"/>
    <n v="386.88399750000002"/>
    <n v="13"/>
    <n v="315"/>
    <x v="0"/>
    <n v="1"/>
    <s v="Default"/>
    <n v="1"/>
    <n v="14476.45"/>
    <s v="High Income"/>
    <s v="Employed"/>
    <s v="Without Loan"/>
    <s v="Low-Risk"/>
  </r>
  <r>
    <s v="T000318"/>
    <s v="C9716"/>
    <s v="AC30521013"/>
    <x v="248"/>
    <x v="29"/>
    <x v="3"/>
    <x v="3"/>
    <n v="3766.93"/>
    <x v="0"/>
    <n v="46982.27"/>
    <s v="Medium"/>
    <x v="2"/>
    <n v="33"/>
    <x v="0"/>
    <s v="Male"/>
    <s v="Credit"/>
    <x v="264"/>
    <s v="USD"/>
    <x v="2"/>
    <n v="1.5900000000000001E-2"/>
    <n v="1.59"/>
    <s v="low"/>
    <n v="12954.06"/>
    <n v="205.96955400000002"/>
    <n v="27"/>
    <n v="596"/>
    <x v="2"/>
    <n v="2"/>
    <s v="Good"/>
    <n v="2"/>
    <n v="13426.9"/>
    <s v="High Income"/>
    <s v="Employed"/>
    <s v="With Loan"/>
    <s v="Low-Risk"/>
  </r>
  <r>
    <s v="T000319"/>
    <s v="C7971"/>
    <s v="AC11514542"/>
    <x v="249"/>
    <x v="8"/>
    <x v="6"/>
    <x v="3"/>
    <n v="3810.56"/>
    <x v="0"/>
    <n v="21325.94"/>
    <s v="Medium"/>
    <x v="4"/>
    <n v="18"/>
    <x v="4"/>
    <s v="Male"/>
    <s v="Credit"/>
    <x v="133"/>
    <s v="USD"/>
    <x v="1"/>
    <n v="2.7099999999999999E-2"/>
    <n v="2.71"/>
    <s v="low"/>
    <n v="26681.654999999999"/>
    <n v="723.07285049999996"/>
    <n v="15"/>
    <n v="519"/>
    <x v="0"/>
    <n v="0"/>
    <s v="Good"/>
    <n v="1"/>
    <n v="11810.87"/>
    <s v="High Income"/>
    <s v="Unemployed"/>
    <s v="Without Loan"/>
    <s v="Low-Risk"/>
  </r>
  <r>
    <s v="T000320"/>
    <s v="C6625"/>
    <s v="AC47735088"/>
    <x v="128"/>
    <x v="15"/>
    <x v="4"/>
    <x v="0"/>
    <n v="4792.66"/>
    <x v="0"/>
    <n v="20714.41"/>
    <s v="Medium"/>
    <x v="2"/>
    <n v="29"/>
    <x v="0"/>
    <s v="Female"/>
    <s v="Credit"/>
    <x v="228"/>
    <s v="USD"/>
    <x v="2"/>
    <n v="1.78E-2"/>
    <n v="1.78"/>
    <s v="low"/>
    <n v="26681.654999999999"/>
    <n v="474.93345899999997"/>
    <n v="28"/>
    <n v="666"/>
    <x v="2"/>
    <n v="2"/>
    <s v="Good"/>
    <n v="2"/>
    <n v="14135.15"/>
    <s v="High Income"/>
    <s v="Self-employed"/>
    <s v="Without Loan"/>
    <s v="Low-Risk"/>
  </r>
  <r>
    <s v="T000321"/>
    <s v="C3950"/>
    <s v="AC88427656"/>
    <x v="149"/>
    <x v="22"/>
    <x v="5"/>
    <x v="3"/>
    <n v="4496.8599999999997"/>
    <x v="0"/>
    <n v="20139.09"/>
    <s v="Medium"/>
    <x v="1"/>
    <n v="41"/>
    <x v="1"/>
    <s v="Male"/>
    <s v="Credit"/>
    <x v="265"/>
    <s v="EUR"/>
    <x v="2"/>
    <n v="1.11E-2"/>
    <n v="1.1100000000000001"/>
    <s v="low"/>
    <n v="26681.654999999999"/>
    <n v="296.16637050000003"/>
    <n v="17"/>
    <n v="528"/>
    <x v="0"/>
    <n v="2"/>
    <s v="Good"/>
    <n v="1"/>
    <n v="4861.68"/>
    <s v="Middle Income"/>
    <s v="Self-employed"/>
    <s v="Without Loan"/>
    <s v="Low-Risk"/>
  </r>
  <r>
    <s v="T000322"/>
    <s v="C8992"/>
    <s v="AC25135763"/>
    <x v="250"/>
    <x v="17"/>
    <x v="9"/>
    <x v="1"/>
    <n v="9949.09"/>
    <x v="1"/>
    <n v="4397.09"/>
    <s v="Low"/>
    <x v="4"/>
    <n v="51"/>
    <x v="2"/>
    <s v="Female"/>
    <s v="Credit"/>
    <x v="266"/>
    <s v="GBP"/>
    <x v="1"/>
    <n v="4.2200000000000001E-2"/>
    <n v="4.22"/>
    <s v="high"/>
    <n v="8259"/>
    <n v="348.52980000000002"/>
    <n v="11"/>
    <n v="739"/>
    <x v="3"/>
    <n v="0"/>
    <s v="Good"/>
    <n v="3"/>
    <n v="12872.8"/>
    <s v="High Income"/>
    <s v="Unemployed"/>
    <s v="With Loan"/>
    <s v="Low-Risk"/>
  </r>
  <r>
    <s v="T000323"/>
    <s v="C5780"/>
    <s v="AC85785788"/>
    <x v="251"/>
    <x v="28"/>
    <x v="4"/>
    <x v="1"/>
    <n v="5499.27"/>
    <x v="0"/>
    <n v="32277.79"/>
    <s v="Medium"/>
    <x v="4"/>
    <n v="25"/>
    <x v="4"/>
    <s v="Female"/>
    <s v="Checking"/>
    <x v="267"/>
    <s v="GBP"/>
    <x v="2"/>
    <n v="1.0800000000000001E-2"/>
    <n v="1.08"/>
    <s v="low"/>
    <n v="26681.654999999999"/>
    <n v="288.16187400000001"/>
    <n v="5"/>
    <n v="831"/>
    <x v="1"/>
    <n v="2"/>
    <s v="Good"/>
    <n v="5"/>
    <n v="10969.89"/>
    <s v="High Income"/>
    <s v="Employed"/>
    <s v="Without Loan"/>
    <s v="Low-Risk"/>
  </r>
  <r>
    <s v="T000324"/>
    <s v="C3368"/>
    <s v="AC53951994"/>
    <x v="252"/>
    <x v="24"/>
    <x v="6"/>
    <x v="3"/>
    <n v="973.2"/>
    <x v="0"/>
    <n v="36917.18"/>
    <s v="Medium"/>
    <x v="4"/>
    <n v="35"/>
    <x v="0"/>
    <s v="Male"/>
    <s v="Credit"/>
    <x v="10"/>
    <s v="USD"/>
    <x v="1"/>
    <n v="4.3200000000000002E-2"/>
    <n v="4.32"/>
    <s v="high"/>
    <n v="26681.654999999999"/>
    <n v="1152.647496"/>
    <n v="13"/>
    <n v="749"/>
    <x v="4"/>
    <n v="0"/>
    <s v="Good"/>
    <n v="4"/>
    <n v="13306.87"/>
    <s v="High Income"/>
    <s v="Unemployed"/>
    <s v="Without Loan"/>
    <s v="Low-Risk"/>
  </r>
  <r>
    <s v="T000325"/>
    <s v="C7655"/>
    <s v="AC75489314"/>
    <x v="253"/>
    <x v="25"/>
    <x v="1"/>
    <x v="1"/>
    <n v="6108.09"/>
    <x v="0"/>
    <n v="34130.14"/>
    <s v="Medium"/>
    <x v="2"/>
    <n v="65"/>
    <x v="3"/>
    <s v="Male"/>
    <s v="Credit"/>
    <x v="26"/>
    <s v="EUR"/>
    <x v="2"/>
    <n v="1.5800000000000002E-2"/>
    <n v="1.58"/>
    <s v="low"/>
    <n v="29922.81"/>
    <n v="472.78039800000005"/>
    <n v="15"/>
    <n v="335"/>
    <x v="0"/>
    <n v="2"/>
    <s v="Good"/>
    <n v="1"/>
    <n v="12359.85"/>
    <s v="High Income"/>
    <s v="Employed"/>
    <s v="With Loan"/>
    <s v="Low-Risk"/>
  </r>
  <r>
    <s v="T000326"/>
    <s v="C9173"/>
    <s v="AC45383985"/>
    <x v="254"/>
    <x v="12"/>
    <x v="0"/>
    <x v="3"/>
    <n v="1600.68"/>
    <x v="1"/>
    <n v="7783.34"/>
    <s v="Low"/>
    <x v="0"/>
    <n v="22"/>
    <x v="4"/>
    <s v="Female"/>
    <s v="Credit"/>
    <x v="268"/>
    <s v="USD"/>
    <x v="1"/>
    <n v="4.9000000000000002E-2"/>
    <n v="4.9000000000000002E-2"/>
    <s v="low"/>
    <n v="26681.654999999999"/>
    <n v="1307.4010949999999"/>
    <n v="10"/>
    <n v="721"/>
    <x v="3"/>
    <n v="0"/>
    <s v="Good"/>
    <n v="3"/>
    <n v="6504.44"/>
    <s v="High Income"/>
    <s v="Employed"/>
    <s v="Without Loan"/>
    <s v="Low-Risk"/>
  </r>
  <r>
    <s v="T000327"/>
    <s v="C5495"/>
    <s v="AC46595773"/>
    <x v="7"/>
    <x v="7"/>
    <x v="0"/>
    <x v="3"/>
    <n v="406.28"/>
    <x v="0"/>
    <n v="29363.17"/>
    <s v="Medium"/>
    <x v="1"/>
    <n v="43"/>
    <x v="1"/>
    <s v="Female"/>
    <s v="Credit"/>
    <x v="269"/>
    <s v="USD"/>
    <x v="0"/>
    <n v="3.4200000000000001E-2"/>
    <n v="3.42"/>
    <s v="low"/>
    <n v="26681.654999999999"/>
    <n v="912.51260100000002"/>
    <n v="14"/>
    <n v="488"/>
    <x v="0"/>
    <n v="1"/>
    <s v="Default"/>
    <n v="1"/>
    <n v="12067.18"/>
    <s v="High Income"/>
    <s v="Employed"/>
    <s v="Without Loan"/>
    <s v="Low-Risk"/>
  </r>
  <r>
    <s v="T000328"/>
    <s v="C7002"/>
    <s v="AC24315679"/>
    <x v="168"/>
    <x v="19"/>
    <x v="4"/>
    <x v="3"/>
    <n v="9710.35"/>
    <x v="0"/>
    <n v="28904.74"/>
    <s v="Medium"/>
    <x v="4"/>
    <n v="47"/>
    <x v="2"/>
    <s v="Male"/>
    <s v="Savings"/>
    <x v="270"/>
    <s v="EUR"/>
    <x v="1"/>
    <n v="3.9399999999999998E-2"/>
    <n v="3.94"/>
    <s v="low"/>
    <n v="26681.654999999999"/>
    <n v="1051.2572069999999"/>
    <n v="13"/>
    <n v="477"/>
    <x v="0"/>
    <n v="0"/>
    <s v="Good"/>
    <n v="1"/>
    <n v="5411.93"/>
    <s v="High Income"/>
    <s v="Self-employed"/>
    <s v="Without Loan"/>
    <s v="Low-Risk"/>
  </r>
  <r>
    <s v="T000329"/>
    <s v="C7614"/>
    <s v="AC34440805"/>
    <x v="255"/>
    <x v="19"/>
    <x v="2"/>
    <x v="0"/>
    <n v="7758.04"/>
    <x v="0"/>
    <n v="43552.13"/>
    <s v="Medium"/>
    <x v="0"/>
    <n v="30"/>
    <x v="0"/>
    <s v="Male"/>
    <s v="Credit"/>
    <x v="271"/>
    <s v="EUR"/>
    <x v="1"/>
    <n v="1.44E-2"/>
    <n v="1.44"/>
    <s v="low"/>
    <n v="29133.43"/>
    <n v="419.52139199999999"/>
    <n v="16"/>
    <n v="614"/>
    <x v="2"/>
    <n v="0"/>
    <s v="Good"/>
    <n v="2"/>
    <n v="6271.7"/>
    <s v="High Income"/>
    <s v="Self-employed"/>
    <s v="With Loan"/>
    <s v="Low-Risk"/>
  </r>
  <r>
    <s v="T000330"/>
    <s v="C6919"/>
    <s v="AC31765239"/>
    <x v="256"/>
    <x v="30"/>
    <x v="4"/>
    <x v="3"/>
    <n v="9803.08"/>
    <x v="1"/>
    <n v="19577.259999999998"/>
    <s v="Medium"/>
    <x v="1"/>
    <n v="36"/>
    <x v="1"/>
    <s v="Male"/>
    <s v="Credit"/>
    <x v="239"/>
    <s v="USD"/>
    <x v="1"/>
    <n v="4.4499999999999998E-2"/>
    <n v="4.45"/>
    <s v="high"/>
    <n v="26681.654999999999"/>
    <n v="1187.3336474999999"/>
    <n v="19"/>
    <n v="319"/>
    <x v="0"/>
    <n v="0"/>
    <s v="Good"/>
    <n v="1"/>
    <n v="3402.77"/>
    <s v="Middle Income"/>
    <s v="Unemployed"/>
    <s v="Without Loan"/>
    <s v="Low-Risk"/>
  </r>
  <r>
    <s v="T000331"/>
    <s v="C1853"/>
    <s v="AC34586222"/>
    <x v="257"/>
    <x v="30"/>
    <x v="4"/>
    <x v="0"/>
    <n v="4831"/>
    <x v="1"/>
    <n v="19202.810000000001"/>
    <s v="Medium"/>
    <x v="1"/>
    <n v="46"/>
    <x v="2"/>
    <s v="Male"/>
    <s v="Checking"/>
    <x v="272"/>
    <s v="GBP"/>
    <x v="2"/>
    <n v="4.36E-2"/>
    <n v="4.3600000000000003"/>
    <s v="high"/>
    <n v="26681.654999999999"/>
    <n v="1163.320158"/>
    <n v="8"/>
    <n v="681"/>
    <x v="3"/>
    <n v="2"/>
    <s v="Good"/>
    <n v="3"/>
    <n v="14156"/>
    <s v="High Income"/>
    <s v="Unemployed"/>
    <s v="Without Loan"/>
    <s v="Low-Risk"/>
  </r>
  <r>
    <s v="T000332"/>
    <s v="C5146"/>
    <s v="AC25527000"/>
    <x v="258"/>
    <x v="12"/>
    <x v="6"/>
    <x v="3"/>
    <n v="5369.35"/>
    <x v="0"/>
    <n v="31307.83"/>
    <s v="Medium"/>
    <x v="4"/>
    <n v="20"/>
    <x v="4"/>
    <s v="Male"/>
    <s v="Savings"/>
    <x v="273"/>
    <s v="USD"/>
    <x v="0"/>
    <n v="3.61E-2"/>
    <n v="3.61"/>
    <s v="low"/>
    <n v="38558.22"/>
    <n v="1391.951742"/>
    <n v="13"/>
    <n v="442"/>
    <x v="0"/>
    <n v="1"/>
    <s v="Default"/>
    <n v="1"/>
    <n v="5783.04"/>
    <s v="High Income"/>
    <s v="Self-employed"/>
    <s v="With Loan"/>
    <s v="High-Risk"/>
  </r>
  <r>
    <s v="T000333"/>
    <s v="C4769"/>
    <s v="AC95561923"/>
    <x v="259"/>
    <x v="28"/>
    <x v="0"/>
    <x v="3"/>
    <n v="1766.54"/>
    <x v="0"/>
    <n v="32020.560000000001"/>
    <s v="Medium"/>
    <x v="4"/>
    <n v="43"/>
    <x v="1"/>
    <s v="Female"/>
    <s v="Checking"/>
    <x v="170"/>
    <s v="GBP"/>
    <x v="2"/>
    <n v="3.0099999999999998E-2"/>
    <n v="3.01"/>
    <s v="low"/>
    <n v="14237.23"/>
    <n v="428.54062299999998"/>
    <n v="10"/>
    <n v="361"/>
    <x v="0"/>
    <n v="2"/>
    <s v="Good"/>
    <n v="1"/>
    <n v="8768.09"/>
    <s v="High Income"/>
    <s v="Unemployed"/>
    <s v="With Loan"/>
    <s v="Low-Risk"/>
  </r>
  <r>
    <s v="T000334"/>
    <s v="C1574"/>
    <s v="AC85532173"/>
    <x v="108"/>
    <x v="7"/>
    <x v="2"/>
    <x v="3"/>
    <n v="2544.38"/>
    <x v="0"/>
    <n v="23994.98"/>
    <s v="Medium"/>
    <x v="2"/>
    <n v="57"/>
    <x v="2"/>
    <s v="Male"/>
    <s v="Credit"/>
    <x v="24"/>
    <s v="GBP"/>
    <x v="2"/>
    <n v="3.8899999999999997E-2"/>
    <n v="3.89"/>
    <s v="low"/>
    <n v="26681.654999999999"/>
    <n v="1037.9163794999999"/>
    <n v="5"/>
    <n v="541"/>
    <x v="0"/>
    <n v="2"/>
    <s v="Good"/>
    <n v="1"/>
    <n v="7087.33"/>
    <s v="High Income"/>
    <s v="Self-employed"/>
    <s v="Without Loan"/>
    <s v="Low-Risk"/>
  </r>
  <r>
    <s v="T000335"/>
    <s v="C2148"/>
    <s v="AC80337892"/>
    <x v="260"/>
    <x v="24"/>
    <x v="0"/>
    <x v="1"/>
    <n v="8401.64"/>
    <x v="0"/>
    <n v="22709.91"/>
    <s v="Medium"/>
    <x v="0"/>
    <n v="29"/>
    <x v="0"/>
    <s v="Male"/>
    <s v="Checking"/>
    <x v="265"/>
    <s v="EUR"/>
    <x v="1"/>
    <n v="1.0200000000000001E-2"/>
    <n v="1.02"/>
    <s v="low"/>
    <n v="20574.990000000002"/>
    <n v="209.86489800000004"/>
    <n v="13"/>
    <n v="537"/>
    <x v="0"/>
    <n v="0"/>
    <s v="Good"/>
    <n v="1"/>
    <n v="14479.07"/>
    <s v="High Income"/>
    <s v="Self-employed"/>
    <s v="With Loan"/>
    <s v="Low-Risk"/>
  </r>
  <r>
    <s v="T000336"/>
    <s v="C7293"/>
    <s v="AC95607690"/>
    <x v="261"/>
    <x v="14"/>
    <x v="0"/>
    <x v="0"/>
    <n v="3626.24"/>
    <x v="0"/>
    <n v="25213.24"/>
    <s v="Medium"/>
    <x v="0"/>
    <n v="19"/>
    <x v="4"/>
    <s v="Female"/>
    <s v="Checking"/>
    <x v="274"/>
    <s v="EUR"/>
    <x v="2"/>
    <n v="3.3700000000000001E-2"/>
    <n v="3.37"/>
    <s v="low"/>
    <n v="38602.69"/>
    <n v="1300.9106530000001"/>
    <n v="16"/>
    <n v="430"/>
    <x v="0"/>
    <n v="2"/>
    <s v="Good"/>
    <n v="1"/>
    <n v="6355.64"/>
    <s v="High Income"/>
    <s v="Employed"/>
    <s v="With Loan"/>
    <s v="High-Risk"/>
  </r>
  <r>
    <s v="T000337"/>
    <s v="C7457"/>
    <s v="AC20569320"/>
    <x v="262"/>
    <x v="23"/>
    <x v="8"/>
    <x v="0"/>
    <n v="8285.4699999999993"/>
    <x v="0"/>
    <n v="43191.22"/>
    <s v="Medium"/>
    <x v="4"/>
    <n v="28"/>
    <x v="0"/>
    <s v="Male"/>
    <s v="Credit"/>
    <x v="275"/>
    <s v="USD"/>
    <x v="1"/>
    <n v="4.3900000000000002E-2"/>
    <n v="4.3899999999999997"/>
    <s v="high"/>
    <n v="43111.519999999997"/>
    <n v="1892.595728"/>
    <n v="13"/>
    <n v="422"/>
    <x v="0"/>
    <n v="0"/>
    <s v="Good"/>
    <n v="1"/>
    <n v="12121.1"/>
    <s v="High Income"/>
    <s v="Employed"/>
    <s v="With Loan"/>
    <s v="High-Risk"/>
  </r>
  <r>
    <s v="T000338"/>
    <s v="C8509"/>
    <s v="AC79448631"/>
    <x v="263"/>
    <x v="25"/>
    <x v="3"/>
    <x v="3"/>
    <n v="7119.24"/>
    <x v="0"/>
    <n v="23597.18"/>
    <s v="Medium"/>
    <x v="1"/>
    <n v="61"/>
    <x v="3"/>
    <s v="Male"/>
    <s v="Savings"/>
    <x v="276"/>
    <s v="GBP"/>
    <x v="0"/>
    <n v="2.4299999999999999E-2"/>
    <n v="2.4300000000000002"/>
    <s v="low"/>
    <n v="21937.48"/>
    <n v="533.08076399999993"/>
    <n v="26"/>
    <n v="739"/>
    <x v="3"/>
    <n v="1"/>
    <s v="Default"/>
    <n v="3"/>
    <n v="13120.41"/>
    <s v="High Income"/>
    <s v="Self-employed"/>
    <s v="With Loan"/>
    <s v="Low-Risk"/>
  </r>
  <r>
    <s v="T000339"/>
    <s v="C5777"/>
    <s v="AC77001666"/>
    <x v="264"/>
    <x v="30"/>
    <x v="0"/>
    <x v="3"/>
    <n v="1853.99"/>
    <x v="0"/>
    <n v="47056.66"/>
    <s v="Medium"/>
    <x v="4"/>
    <n v="45"/>
    <x v="1"/>
    <s v="Female"/>
    <s v="Savings"/>
    <x v="277"/>
    <s v="GBP"/>
    <x v="2"/>
    <n v="1.43E-2"/>
    <n v="1.43"/>
    <s v="low"/>
    <n v="18347.939999999999"/>
    <n v="262.375542"/>
    <n v="13"/>
    <n v="641"/>
    <x v="2"/>
    <n v="2"/>
    <s v="Good"/>
    <n v="2"/>
    <n v="7662.88"/>
    <s v="High Income"/>
    <s v="Employed"/>
    <s v="With Loan"/>
    <s v="Low-Risk"/>
  </r>
  <r>
    <s v="T000340"/>
    <s v="C4854"/>
    <s v="AC29391451"/>
    <x v="265"/>
    <x v="27"/>
    <x v="9"/>
    <x v="1"/>
    <n v="5123.72"/>
    <x v="0"/>
    <n v="25696.18"/>
    <s v="Medium"/>
    <x v="1"/>
    <n v="35"/>
    <x v="0"/>
    <s v="Male"/>
    <s v="Checking"/>
    <x v="117"/>
    <s v="USD"/>
    <x v="2"/>
    <n v="2.6800000000000001E-2"/>
    <n v="2.68"/>
    <s v="low"/>
    <n v="45025.1"/>
    <n v="1206.6726799999999"/>
    <n v="12"/>
    <n v="718"/>
    <x v="3"/>
    <n v="2"/>
    <s v="Good"/>
    <n v="3"/>
    <n v="6916.23"/>
    <s v="High Income"/>
    <s v="Self-employed"/>
    <s v="With Loan"/>
    <s v="Low-Risk"/>
  </r>
  <r>
    <s v="T000341"/>
    <s v="C3491"/>
    <s v="AC44045468"/>
    <x v="266"/>
    <x v="1"/>
    <x v="4"/>
    <x v="1"/>
    <n v="6806.13"/>
    <x v="0"/>
    <n v="47510.83"/>
    <s v="Medium"/>
    <x v="1"/>
    <n v="30"/>
    <x v="0"/>
    <s v="Female"/>
    <s v="Credit"/>
    <x v="278"/>
    <s v="USD"/>
    <x v="2"/>
    <n v="3.9100000000000003E-2"/>
    <n v="3.91"/>
    <s v="low"/>
    <n v="49971.42"/>
    <n v="1953.8825220000001"/>
    <n v="23"/>
    <n v="754"/>
    <x v="4"/>
    <n v="2"/>
    <s v="Good"/>
    <n v="4"/>
    <n v="11720.7"/>
    <s v="High Income"/>
    <s v="Employed"/>
    <s v="With Loan"/>
    <s v="Low-Risk"/>
  </r>
  <r>
    <s v="T000342"/>
    <s v="C4124"/>
    <s v="AC69047560"/>
    <x v="267"/>
    <x v="14"/>
    <x v="0"/>
    <x v="1"/>
    <n v="2426.87"/>
    <x v="0"/>
    <n v="41808.76"/>
    <s v="Medium"/>
    <x v="4"/>
    <n v="54"/>
    <x v="2"/>
    <s v="Male"/>
    <s v="Checking"/>
    <x v="279"/>
    <s v="USD"/>
    <x v="1"/>
    <n v="1.43E-2"/>
    <n v="1.43"/>
    <s v="low"/>
    <n v="26681.654999999999"/>
    <n v="381.54766649999999"/>
    <n v="13"/>
    <n v="497"/>
    <x v="0"/>
    <n v="0"/>
    <s v="Good"/>
    <n v="1"/>
    <n v="13867.65"/>
    <s v="High Income"/>
    <s v="Unemployed"/>
    <s v="Without Loan"/>
    <s v="Low-Risk"/>
  </r>
  <r>
    <s v="T000343"/>
    <s v="C6691"/>
    <s v="AC66378562"/>
    <x v="178"/>
    <x v="16"/>
    <x v="5"/>
    <x v="0"/>
    <n v="8323.82"/>
    <x v="1"/>
    <n v="18759.13"/>
    <s v="Medium"/>
    <x v="3"/>
    <n v="39"/>
    <x v="1"/>
    <s v="Male"/>
    <s v="Checking"/>
    <x v="232"/>
    <s v="EUR"/>
    <x v="1"/>
    <n v="1.8200000000000001E-2"/>
    <n v="1.82"/>
    <s v="low"/>
    <n v="49549.13"/>
    <n v="901.79416600000002"/>
    <n v="9"/>
    <n v="581"/>
    <x v="2"/>
    <n v="0"/>
    <s v="Good"/>
    <n v="2"/>
    <n v="11814.11"/>
    <s v="High Income"/>
    <s v="Unemployed"/>
    <s v="With Loan"/>
    <s v="High-Risk"/>
  </r>
  <r>
    <s v="T000344"/>
    <s v="C4051"/>
    <s v="AC87960088"/>
    <x v="42"/>
    <x v="19"/>
    <x v="0"/>
    <x v="0"/>
    <n v="5493.79"/>
    <x v="0"/>
    <n v="43318.43"/>
    <s v="Medium"/>
    <x v="0"/>
    <n v="29"/>
    <x v="0"/>
    <s v="Male"/>
    <s v="Checking"/>
    <x v="280"/>
    <s v="USD"/>
    <x v="2"/>
    <n v="1.5900000000000001E-2"/>
    <n v="1.59"/>
    <s v="low"/>
    <n v="34698.480000000003"/>
    <n v="551.7058320000001"/>
    <n v="17"/>
    <n v="300"/>
    <x v="0"/>
    <n v="2"/>
    <s v="Good"/>
    <n v="1"/>
    <n v="4952.6400000000003"/>
    <s v="Middle Income"/>
    <s v="Self-employed"/>
    <s v="With Loan"/>
    <s v="High-Risk"/>
  </r>
  <r>
    <s v="T000345"/>
    <s v="C1004"/>
    <s v="AC46264673"/>
    <x v="268"/>
    <x v="22"/>
    <x v="1"/>
    <x v="0"/>
    <n v="1735.9"/>
    <x v="1"/>
    <n v="6393.1"/>
    <s v="Low"/>
    <x v="1"/>
    <n v="19"/>
    <x v="4"/>
    <s v="Female"/>
    <s v="Credit"/>
    <x v="229"/>
    <s v="USD"/>
    <x v="2"/>
    <n v="4.19E-2"/>
    <n v="4.1900000000000004"/>
    <s v="high"/>
    <n v="38005.71"/>
    <n v="1592.439249"/>
    <n v="13"/>
    <n v="631"/>
    <x v="2"/>
    <n v="2"/>
    <s v="Good"/>
    <n v="2"/>
    <n v="13548"/>
    <s v="High Income"/>
    <s v="Self-employed"/>
    <s v="With Loan"/>
    <s v="Low-Risk"/>
  </r>
  <r>
    <s v="T000346"/>
    <s v="C6222"/>
    <s v="AC88931275"/>
    <x v="70"/>
    <x v="20"/>
    <x v="7"/>
    <x v="3"/>
    <n v="5871.55"/>
    <x v="0"/>
    <n v="46327.31"/>
    <s v="Medium"/>
    <x v="1"/>
    <n v="54"/>
    <x v="2"/>
    <s v="Female"/>
    <s v="Credit"/>
    <x v="86"/>
    <s v="GBP"/>
    <x v="0"/>
    <n v="1.2500000000000001E-2"/>
    <n v="1.25"/>
    <s v="low"/>
    <n v="26681.654999999999"/>
    <n v="333.52068750000001"/>
    <n v="28"/>
    <n v="511"/>
    <x v="0"/>
    <n v="1"/>
    <s v="Default"/>
    <n v="1"/>
    <n v="7038.56"/>
    <s v="High Income"/>
    <s v="Employed"/>
    <s v="Without Loan"/>
    <s v="Low-Risk"/>
  </r>
  <r>
    <s v="T000347"/>
    <s v="C6315"/>
    <s v="AC27920169"/>
    <x v="269"/>
    <x v="12"/>
    <x v="4"/>
    <x v="0"/>
    <n v="9997.17"/>
    <x v="0"/>
    <n v="31950.53"/>
    <s v="Medium"/>
    <x v="3"/>
    <n v="24"/>
    <x v="4"/>
    <s v="Female"/>
    <s v="Savings"/>
    <x v="271"/>
    <s v="USD"/>
    <x v="0"/>
    <n v="3.7499999999999999E-2"/>
    <n v="3.75"/>
    <s v="low"/>
    <n v="24483.54"/>
    <n v="918.13274999999999"/>
    <n v="13"/>
    <n v="386"/>
    <x v="0"/>
    <n v="1"/>
    <s v="Default"/>
    <n v="1"/>
    <n v="9490.98"/>
    <s v="High Income"/>
    <s v="Employed"/>
    <s v="With Loan"/>
    <s v="Low-Risk"/>
  </r>
  <r>
    <s v="T000348"/>
    <s v="C5869"/>
    <s v="AC81087566"/>
    <x v="249"/>
    <x v="8"/>
    <x v="6"/>
    <x v="2"/>
    <n v="1590.16"/>
    <x v="1"/>
    <n v="3665.15"/>
    <s v="Low"/>
    <x v="2"/>
    <n v="43"/>
    <x v="1"/>
    <s v="Female"/>
    <s v="Credit"/>
    <x v="281"/>
    <s v="GBP"/>
    <x v="0"/>
    <n v="2.47E-2"/>
    <n v="2.4700000000000002"/>
    <s v="low"/>
    <n v="11486.1"/>
    <n v="283.70667000000003"/>
    <n v="25"/>
    <n v="360"/>
    <x v="0"/>
    <n v="1"/>
    <s v="Default"/>
    <n v="1"/>
    <n v="12808.66"/>
    <s v="High Income"/>
    <s v="Self-employed"/>
    <s v="With Loan"/>
    <s v="Low-Risk"/>
  </r>
  <r>
    <s v="T000349"/>
    <s v="C1876"/>
    <s v="AC94212996"/>
    <x v="270"/>
    <x v="7"/>
    <x v="7"/>
    <x v="2"/>
    <n v="8185.89"/>
    <x v="0"/>
    <n v="32568.58"/>
    <s v="Medium"/>
    <x v="3"/>
    <n v="43"/>
    <x v="1"/>
    <s v="Male"/>
    <s v="Checking"/>
    <x v="282"/>
    <s v="GBP"/>
    <x v="0"/>
    <n v="4.02E-2"/>
    <n v="4.0199999999999996"/>
    <s v="high"/>
    <n v="26681.654999999999"/>
    <n v="1072.602531"/>
    <n v="13"/>
    <n v="394"/>
    <x v="0"/>
    <n v="1"/>
    <s v="Default"/>
    <n v="1"/>
    <n v="4449.13"/>
    <s v="Middle Income"/>
    <s v="Unemployed"/>
    <s v="Without Loan"/>
    <s v="Low-Risk"/>
  </r>
  <r>
    <s v="T000350"/>
    <s v="C8027"/>
    <s v="AC80706570"/>
    <x v="180"/>
    <x v="10"/>
    <x v="1"/>
    <x v="1"/>
    <n v="2152.36"/>
    <x v="0"/>
    <n v="48738.14"/>
    <s v="Medium"/>
    <x v="3"/>
    <n v="41"/>
    <x v="1"/>
    <s v="Female"/>
    <s v="Checking"/>
    <x v="283"/>
    <s v="EUR"/>
    <x v="0"/>
    <n v="4.8599999999999997E-2"/>
    <n v="4.8600000000000003"/>
    <s v="high"/>
    <n v="46897.66"/>
    <n v="2279.2262759999999"/>
    <n v="24"/>
    <n v="446"/>
    <x v="0"/>
    <n v="1"/>
    <s v="Default"/>
    <n v="1"/>
    <n v="12198.63"/>
    <s v="High Income"/>
    <s v="Unemployed"/>
    <s v="With Loan"/>
    <s v="High-Risk"/>
  </r>
  <r>
    <s v="T000351"/>
    <s v="C5142"/>
    <s v="AC10605409"/>
    <x v="271"/>
    <x v="6"/>
    <x v="8"/>
    <x v="0"/>
    <n v="7845.64"/>
    <x v="1"/>
    <n v="4420.2299999999996"/>
    <s v="Low"/>
    <x v="1"/>
    <n v="29"/>
    <x v="0"/>
    <s v="Female"/>
    <s v="Savings"/>
    <x v="284"/>
    <s v="USD"/>
    <x v="1"/>
    <n v="1.46E-2"/>
    <n v="1.46"/>
    <s v="low"/>
    <n v="26681.654999999999"/>
    <n v="389.55216300000001"/>
    <n v="12"/>
    <n v="545"/>
    <x v="0"/>
    <n v="0"/>
    <s v="Good"/>
    <n v="1"/>
    <n v="9750.1200000000008"/>
    <s v="High Income"/>
    <s v="Self-employed"/>
    <s v="Without Loan"/>
    <s v="Low-Risk"/>
  </r>
  <r>
    <s v="T000352"/>
    <s v="C7966"/>
    <s v="AC19462743"/>
    <x v="272"/>
    <x v="19"/>
    <x v="1"/>
    <x v="2"/>
    <n v="7372.32"/>
    <x v="0"/>
    <n v="28179.7"/>
    <s v="Medium"/>
    <x v="0"/>
    <n v="33"/>
    <x v="0"/>
    <s v="Female"/>
    <s v="Credit"/>
    <x v="285"/>
    <s v="USD"/>
    <x v="0"/>
    <n v="2.2599999999999999E-2"/>
    <n v="2.2599999999999998"/>
    <s v="low"/>
    <n v="26681.654999999999"/>
    <n v="603.00540299999989"/>
    <n v="13"/>
    <n v="596"/>
    <x v="2"/>
    <n v="1"/>
    <s v="Default"/>
    <n v="2"/>
    <n v="13613.44"/>
    <s v="High Income"/>
    <s v="Unemployed"/>
    <s v="Without Loan"/>
    <s v="Low-Risk"/>
  </r>
  <r>
    <s v="T000353"/>
    <s v="C8079"/>
    <s v="AC21377787"/>
    <x v="98"/>
    <x v="26"/>
    <x v="9"/>
    <x v="1"/>
    <n v="3074.84"/>
    <x v="0"/>
    <n v="37641.919999999998"/>
    <s v="Medium"/>
    <x v="3"/>
    <n v="40"/>
    <x v="1"/>
    <s v="Male"/>
    <s v="Checking"/>
    <x v="286"/>
    <s v="GBP"/>
    <x v="0"/>
    <n v="4.24E-2"/>
    <n v="4.24"/>
    <s v="high"/>
    <n v="11930.73"/>
    <n v="505.86295200000001"/>
    <n v="20"/>
    <n v="422"/>
    <x v="0"/>
    <n v="1"/>
    <s v="Default"/>
    <n v="1"/>
    <n v="4235.62"/>
    <s v="Middle Income"/>
    <s v="Self-employed"/>
    <s v="With Loan"/>
    <s v="Low-Risk"/>
  </r>
  <r>
    <s v="T000354"/>
    <s v="C8987"/>
    <s v="AC31827621"/>
    <x v="273"/>
    <x v="4"/>
    <x v="8"/>
    <x v="0"/>
    <n v="3325.65"/>
    <x v="0"/>
    <n v="40702.67"/>
    <s v="Medium"/>
    <x v="2"/>
    <n v="57"/>
    <x v="2"/>
    <s v="Male"/>
    <s v="Savings"/>
    <x v="85"/>
    <s v="EUR"/>
    <x v="2"/>
    <n v="2.06E-2"/>
    <n v="2.06"/>
    <s v="low"/>
    <n v="26681.654999999999"/>
    <n v="549.64209299999993"/>
    <n v="13"/>
    <n v="755"/>
    <x v="4"/>
    <n v="2"/>
    <s v="Good"/>
    <n v="4"/>
    <n v="7468.87"/>
    <s v="High Income"/>
    <s v="Employed"/>
    <s v="Without Loan"/>
    <s v="Low-Risk"/>
  </r>
  <r>
    <s v="T000355"/>
    <s v="C7799"/>
    <s v="AC51892167"/>
    <x v="142"/>
    <x v="12"/>
    <x v="2"/>
    <x v="3"/>
    <n v="7945.96"/>
    <x v="0"/>
    <n v="21277.55"/>
    <s v="Medium"/>
    <x v="4"/>
    <n v="26"/>
    <x v="0"/>
    <s v="Female"/>
    <s v="Savings"/>
    <x v="287"/>
    <s v="EUR"/>
    <x v="1"/>
    <n v="1.8599999999999998E-2"/>
    <n v="1.86"/>
    <s v="low"/>
    <n v="16493.47"/>
    <n v="306.77854200000002"/>
    <n v="13"/>
    <n v="698"/>
    <x v="3"/>
    <n v="0"/>
    <s v="Good"/>
    <n v="3"/>
    <n v="12826.96"/>
    <s v="High Income"/>
    <s v="Unemployed"/>
    <s v="With Loan"/>
    <s v="Low-Risk"/>
  </r>
  <r>
    <s v="T000356"/>
    <s v="C5465"/>
    <s v="AC45280122"/>
    <x v="274"/>
    <x v="29"/>
    <x v="2"/>
    <x v="2"/>
    <n v="4668.3100000000004"/>
    <x v="1"/>
    <n v="11004.16"/>
    <s v="Medium"/>
    <x v="3"/>
    <n v="49"/>
    <x v="2"/>
    <s v="Female"/>
    <s v="Checking"/>
    <x v="288"/>
    <s v="USD"/>
    <x v="0"/>
    <n v="4.2999999999999997E-2"/>
    <n v="4.2999999999999997E-2"/>
    <s v="low"/>
    <n v="32608.75"/>
    <n v="1402.17625"/>
    <n v="13"/>
    <n v="530"/>
    <x v="0"/>
    <n v="1"/>
    <s v="Default"/>
    <n v="1"/>
    <n v="2250.0100000000002"/>
    <s v="Low Income"/>
    <s v="Unemployed"/>
    <s v="With Loan"/>
    <s v="Low-Risk"/>
  </r>
  <r>
    <s v="T000357"/>
    <s v="C1635"/>
    <s v="AC30057988"/>
    <x v="63"/>
    <x v="27"/>
    <x v="6"/>
    <x v="3"/>
    <n v="7335.1"/>
    <x v="1"/>
    <n v="3074.77"/>
    <s v="Low"/>
    <x v="3"/>
    <n v="32"/>
    <x v="0"/>
    <s v="Male"/>
    <s v="Checking"/>
    <x v="289"/>
    <s v="GBP"/>
    <x v="0"/>
    <n v="4.9500000000000002E-2"/>
    <n v="4.95"/>
    <s v="high"/>
    <n v="26681.654999999999"/>
    <n v="1320.7419225000001"/>
    <n v="9"/>
    <n v="833"/>
    <x v="1"/>
    <n v="1"/>
    <s v="Default"/>
    <n v="5"/>
    <n v="3458.62"/>
    <s v="Middle Income"/>
    <s v="Employed"/>
    <s v="Without Loan"/>
    <s v="Low-Risk"/>
  </r>
  <r>
    <s v="T000358"/>
    <s v="C2693"/>
    <s v="AC85306159"/>
    <x v="275"/>
    <x v="16"/>
    <x v="0"/>
    <x v="0"/>
    <n v="1565.04"/>
    <x v="0"/>
    <n v="29406.58"/>
    <s v="Medium"/>
    <x v="2"/>
    <n v="54"/>
    <x v="2"/>
    <s v="Female"/>
    <s v="Credit"/>
    <x v="290"/>
    <s v="USD"/>
    <x v="0"/>
    <n v="3.2300000000000002E-2"/>
    <n v="3.23"/>
    <s v="low"/>
    <n v="26681.654999999999"/>
    <n v="861.81745650000005"/>
    <n v="13"/>
    <n v="701"/>
    <x v="3"/>
    <n v="1"/>
    <s v="Default"/>
    <n v="3"/>
    <n v="14877.35"/>
    <s v="High Income"/>
    <s v="Employed"/>
    <s v="Without Loan"/>
    <s v="Low-Risk"/>
  </r>
  <r>
    <s v="T000359"/>
    <s v="C5752"/>
    <s v="AC15809041"/>
    <x v="25"/>
    <x v="13"/>
    <x v="6"/>
    <x v="2"/>
    <n v="8540.32"/>
    <x v="0"/>
    <n v="23192.639999999999"/>
    <s v="Medium"/>
    <x v="0"/>
    <n v="30"/>
    <x v="0"/>
    <s v="Female"/>
    <s v="Savings"/>
    <x v="291"/>
    <s v="USD"/>
    <x v="2"/>
    <n v="2.1100000000000001E-2"/>
    <n v="2.11"/>
    <s v="low"/>
    <n v="5046"/>
    <n v="106.4706"/>
    <n v="17"/>
    <n v="429"/>
    <x v="0"/>
    <n v="2"/>
    <s v="Good"/>
    <n v="1"/>
    <n v="5645.12"/>
    <s v="High Income"/>
    <s v="Unemployed"/>
    <s v="With Loan"/>
    <s v="Low-Risk"/>
  </r>
  <r>
    <s v="T000360"/>
    <s v="C9311"/>
    <s v="AC89655365"/>
    <x v="276"/>
    <x v="5"/>
    <x v="4"/>
    <x v="0"/>
    <n v="7137.76"/>
    <x v="0"/>
    <n v="47488.480000000003"/>
    <s v="Medium"/>
    <x v="3"/>
    <n v="22"/>
    <x v="4"/>
    <s v="Female"/>
    <s v="Checking"/>
    <x v="292"/>
    <s v="USD"/>
    <x v="2"/>
    <n v="2.5899999999999999E-2"/>
    <n v="2.59"/>
    <s v="low"/>
    <n v="32008.19"/>
    <n v="829.01212099999998"/>
    <n v="13"/>
    <n v="591"/>
    <x v="2"/>
    <n v="2"/>
    <s v="Good"/>
    <n v="2"/>
    <n v="14682.06"/>
    <s v="High Income"/>
    <s v="Unemployed"/>
    <s v="With Loan"/>
    <s v="Low-Risk"/>
  </r>
  <r>
    <s v="T000361"/>
    <s v="C1830"/>
    <s v="AC16155579"/>
    <x v="277"/>
    <x v="0"/>
    <x v="8"/>
    <x v="3"/>
    <n v="9078.73"/>
    <x v="1"/>
    <n v="3969.64"/>
    <s v="Low"/>
    <x v="3"/>
    <n v="28"/>
    <x v="0"/>
    <s v="Female"/>
    <s v="Savings"/>
    <x v="293"/>
    <s v="USD"/>
    <x v="2"/>
    <n v="1.6799999999999999E-2"/>
    <n v="1.68"/>
    <s v="low"/>
    <n v="26681.654999999999"/>
    <n v="448.25180399999994"/>
    <n v="13"/>
    <n v="575"/>
    <x v="0"/>
    <n v="2"/>
    <s v="Good"/>
    <n v="1"/>
    <n v="4372.91"/>
    <s v="Middle Income"/>
    <s v="Self-employed"/>
    <s v="Without Loan"/>
    <s v="Low-Risk"/>
  </r>
  <r>
    <s v="T000362"/>
    <s v="C6177"/>
    <s v="AC77511983"/>
    <x v="278"/>
    <x v="12"/>
    <x v="8"/>
    <x v="2"/>
    <n v="1410.49"/>
    <x v="0"/>
    <n v="34584.370000000003"/>
    <s v="Medium"/>
    <x v="0"/>
    <n v="27"/>
    <x v="0"/>
    <s v="Male"/>
    <s v="Credit"/>
    <x v="183"/>
    <s v="GBP"/>
    <x v="0"/>
    <n v="4.0500000000000001E-2"/>
    <n v="4.05"/>
    <s v="high"/>
    <n v="44624.68"/>
    <n v="1807.29954"/>
    <n v="13"/>
    <n v="675"/>
    <x v="3"/>
    <n v="1"/>
    <s v="Default"/>
    <n v="3"/>
    <n v="6694.23"/>
    <s v="High Income"/>
    <s v="Self-employed"/>
    <s v="With Loan"/>
    <s v="Low-Risk"/>
  </r>
  <r>
    <s v="T000363"/>
    <s v="C9932"/>
    <s v="AC93665691"/>
    <x v="69"/>
    <x v="7"/>
    <x v="1"/>
    <x v="3"/>
    <n v="5970.84"/>
    <x v="1"/>
    <n v="2223.34"/>
    <s v="Low"/>
    <x v="2"/>
    <n v="69"/>
    <x v="3"/>
    <s v="Male"/>
    <s v="Checking"/>
    <x v="294"/>
    <s v="EUR"/>
    <x v="2"/>
    <n v="4.0899999999999999E-2"/>
    <n v="4.09"/>
    <s v="high"/>
    <n v="19726.259999999998"/>
    <n v="806.80403399999989"/>
    <n v="19"/>
    <n v="354"/>
    <x v="0"/>
    <n v="2"/>
    <s v="Good"/>
    <n v="1"/>
    <n v="11787.3"/>
    <s v="High Income"/>
    <s v="Unemployed"/>
    <s v="With Loan"/>
    <s v="Low-Risk"/>
  </r>
  <r>
    <s v="T000364"/>
    <s v="C9308"/>
    <s v="AC68544068"/>
    <x v="279"/>
    <x v="24"/>
    <x v="11"/>
    <x v="0"/>
    <n v="6031.29"/>
    <x v="1"/>
    <n v="9400.27"/>
    <s v="Low"/>
    <x v="3"/>
    <n v="30"/>
    <x v="0"/>
    <s v="Male"/>
    <s v="Credit"/>
    <x v="202"/>
    <s v="USD"/>
    <x v="0"/>
    <n v="4.4999999999999998E-2"/>
    <n v="4.4999999999999998E-2"/>
    <s v="low"/>
    <n v="18038.189999999999"/>
    <n v="811.71854999999994"/>
    <n v="13"/>
    <n v="325"/>
    <x v="0"/>
    <n v="1"/>
    <s v="Default"/>
    <n v="1"/>
    <n v="10551.12"/>
    <s v="High Income"/>
    <s v="Self-employed"/>
    <s v="With Loan"/>
    <s v="Low-Risk"/>
  </r>
  <r>
    <s v="T000365"/>
    <s v="C6949"/>
    <s v="AC42027216"/>
    <x v="86"/>
    <x v="1"/>
    <x v="10"/>
    <x v="0"/>
    <n v="3599.26"/>
    <x v="0"/>
    <n v="23225.37"/>
    <s v="Medium"/>
    <x v="0"/>
    <n v="58"/>
    <x v="2"/>
    <s v="Female"/>
    <s v="Savings"/>
    <x v="204"/>
    <s v="USD"/>
    <x v="1"/>
    <n v="1.11E-2"/>
    <n v="1.1100000000000001"/>
    <s v="low"/>
    <n v="26681.654999999999"/>
    <n v="296.16637050000003"/>
    <n v="27"/>
    <n v="740"/>
    <x v="4"/>
    <n v="0"/>
    <s v="Good"/>
    <n v="4"/>
    <n v="9554.59"/>
    <s v="High Income"/>
    <s v="Employed"/>
    <s v="Without Loan"/>
    <s v="Low-Risk"/>
  </r>
  <r>
    <s v="T000366"/>
    <s v="C3838"/>
    <s v="AC43957164"/>
    <x v="280"/>
    <x v="30"/>
    <x v="1"/>
    <x v="3"/>
    <n v="4638.82"/>
    <x v="0"/>
    <n v="23288.75"/>
    <s v="Medium"/>
    <x v="3"/>
    <n v="63"/>
    <x v="3"/>
    <s v="Female"/>
    <s v="Credit"/>
    <x v="295"/>
    <s v="USD"/>
    <x v="0"/>
    <n v="3.2500000000000001E-2"/>
    <n v="3.25"/>
    <s v="low"/>
    <n v="11518.38"/>
    <n v="374.34735000000001"/>
    <n v="3"/>
    <n v="496"/>
    <x v="0"/>
    <n v="1"/>
    <s v="Default"/>
    <n v="1"/>
    <n v="8888.69"/>
    <s v="High Income"/>
    <s v="Self-employed"/>
    <s v="With Loan"/>
    <s v="Low-Risk"/>
  </r>
  <r>
    <s v="T000367"/>
    <s v="C2150"/>
    <s v="AC60837727"/>
    <x v="204"/>
    <x v="16"/>
    <x v="1"/>
    <x v="2"/>
    <n v="476.02"/>
    <x v="0"/>
    <n v="34599.33"/>
    <s v="Medium"/>
    <x v="4"/>
    <n v="67"/>
    <x v="3"/>
    <s v="Male"/>
    <s v="Credit"/>
    <x v="194"/>
    <s v="USD"/>
    <x v="2"/>
    <n v="1.8599999999999998E-2"/>
    <n v="1.86"/>
    <s v="low"/>
    <n v="31168.87"/>
    <n v="579.74098199999992"/>
    <n v="1"/>
    <n v="542"/>
    <x v="0"/>
    <n v="2"/>
    <s v="Good"/>
    <n v="1"/>
    <n v="12964.73"/>
    <s v="High Income"/>
    <s v="Self-employed"/>
    <s v="With Loan"/>
    <s v="Low-Risk"/>
  </r>
  <r>
    <s v="T000368"/>
    <s v="C8560"/>
    <s v="AC79058877"/>
    <x v="281"/>
    <x v="2"/>
    <x v="9"/>
    <x v="3"/>
    <n v="7484.01"/>
    <x v="0"/>
    <n v="45600.44"/>
    <s v="Medium"/>
    <x v="1"/>
    <n v="32"/>
    <x v="0"/>
    <s v="Male"/>
    <s v="Savings"/>
    <x v="296"/>
    <s v="EUR"/>
    <x v="1"/>
    <n v="2.3599999999999999E-2"/>
    <n v="2.36"/>
    <s v="low"/>
    <n v="12569.61"/>
    <n v="296.64279600000003"/>
    <n v="12"/>
    <n v="489"/>
    <x v="0"/>
    <n v="0"/>
    <s v="Good"/>
    <n v="1"/>
    <n v="5054.33"/>
    <s v="High Income"/>
    <s v="Unemployed"/>
    <s v="With Loan"/>
    <s v="Low-Risk"/>
  </r>
  <r>
    <s v="T000369"/>
    <s v="C2931"/>
    <s v="AC11132658"/>
    <x v="282"/>
    <x v="14"/>
    <x v="7"/>
    <x v="0"/>
    <n v="5538.29"/>
    <x v="0"/>
    <n v="32312.58"/>
    <s v="Medium"/>
    <x v="4"/>
    <n v="59"/>
    <x v="2"/>
    <s v="Male"/>
    <s v="Credit"/>
    <x v="1"/>
    <s v="EUR"/>
    <x v="0"/>
    <n v="4.1399999999999999E-2"/>
    <n v="4.1399999999999997"/>
    <s v="high"/>
    <n v="26681.654999999999"/>
    <n v="1104.6205169999998"/>
    <n v="15"/>
    <n v="575"/>
    <x v="0"/>
    <n v="1"/>
    <s v="Default"/>
    <n v="1"/>
    <n v="7752.12"/>
    <s v="High Income"/>
    <s v="Self-employed"/>
    <s v="Without Loan"/>
    <s v="Low-Risk"/>
  </r>
  <r>
    <s v="T000370"/>
    <s v="C2664"/>
    <s v="AC62316857"/>
    <x v="283"/>
    <x v="14"/>
    <x v="3"/>
    <x v="3"/>
    <n v="671.64"/>
    <x v="0"/>
    <n v="47723.22"/>
    <s v="Medium"/>
    <x v="3"/>
    <n v="24"/>
    <x v="4"/>
    <s v="Female"/>
    <s v="Savings"/>
    <x v="297"/>
    <s v="EUR"/>
    <x v="1"/>
    <n v="1.77E-2"/>
    <n v="1.77"/>
    <s v="low"/>
    <n v="26681.654999999999"/>
    <n v="472.26529349999998"/>
    <n v="11"/>
    <n v="708"/>
    <x v="3"/>
    <n v="0"/>
    <s v="Good"/>
    <n v="3"/>
    <n v="4020.88"/>
    <s v="Middle Income"/>
    <s v="Unemployed"/>
    <s v="Without Loan"/>
    <s v="Low-Risk"/>
  </r>
  <r>
    <s v="T000371"/>
    <s v="C2081"/>
    <s v="AC47877058"/>
    <x v="93"/>
    <x v="26"/>
    <x v="11"/>
    <x v="0"/>
    <n v="6839.48"/>
    <x v="0"/>
    <n v="44199.17"/>
    <s v="Medium"/>
    <x v="2"/>
    <n v="57"/>
    <x v="2"/>
    <s v="Male"/>
    <s v="Checking"/>
    <x v="298"/>
    <s v="EUR"/>
    <x v="1"/>
    <n v="3.5499999999999997E-2"/>
    <n v="3.55"/>
    <s v="low"/>
    <n v="26681.654999999999"/>
    <n v="947.19875249999984"/>
    <n v="10"/>
    <n v="639"/>
    <x v="2"/>
    <n v="0"/>
    <s v="Good"/>
    <n v="2"/>
    <n v="9747.24"/>
    <s v="High Income"/>
    <s v="Unemployed"/>
    <s v="Without Loan"/>
    <s v="Low-Risk"/>
  </r>
  <r>
    <s v="T000372"/>
    <s v="C1512"/>
    <s v="AC27434167"/>
    <x v="284"/>
    <x v="9"/>
    <x v="8"/>
    <x v="3"/>
    <n v="4721.1400000000003"/>
    <x v="0"/>
    <n v="29640.49"/>
    <s v="Medium"/>
    <x v="1"/>
    <n v="45"/>
    <x v="1"/>
    <s v="Female"/>
    <s v="Savings"/>
    <x v="299"/>
    <s v="USD"/>
    <x v="1"/>
    <n v="3.6200000000000003E-2"/>
    <n v="3.62"/>
    <s v="low"/>
    <n v="5756.33"/>
    <n v="208.37914600000002"/>
    <n v="2"/>
    <n v="452"/>
    <x v="0"/>
    <n v="0"/>
    <s v="Good"/>
    <n v="1"/>
    <n v="5257.08"/>
    <s v="High Income"/>
    <s v="Unemployed"/>
    <s v="With Loan"/>
    <s v="Low-Risk"/>
  </r>
  <r>
    <s v="T000373"/>
    <s v="C8805"/>
    <s v="AC35177127"/>
    <x v="285"/>
    <x v="16"/>
    <x v="10"/>
    <x v="2"/>
    <n v="441.17"/>
    <x v="0"/>
    <n v="41855.81"/>
    <s v="Medium"/>
    <x v="4"/>
    <n v="49"/>
    <x v="2"/>
    <s v="Female"/>
    <s v="Savings"/>
    <x v="300"/>
    <s v="GBP"/>
    <x v="0"/>
    <n v="4.82E-2"/>
    <n v="4.82"/>
    <s v="high"/>
    <n v="26681.654999999999"/>
    <n v="1286.055771"/>
    <n v="13"/>
    <n v="697"/>
    <x v="3"/>
    <n v="1"/>
    <s v="Default"/>
    <n v="3"/>
    <n v="6339.95"/>
    <s v="High Income"/>
    <s v="Employed"/>
    <s v="Without Loan"/>
    <s v="Low-Risk"/>
  </r>
  <r>
    <s v="T000374"/>
    <s v="C6237"/>
    <s v="AC63811239"/>
    <x v="164"/>
    <x v="23"/>
    <x v="10"/>
    <x v="2"/>
    <n v="9699.1200000000008"/>
    <x v="0"/>
    <n v="32486.3"/>
    <s v="Medium"/>
    <x v="0"/>
    <n v="52"/>
    <x v="2"/>
    <s v="Male"/>
    <s v="Checking"/>
    <x v="301"/>
    <s v="EUR"/>
    <x v="2"/>
    <n v="4.1000000000000002E-2"/>
    <n v="4.1000000000000002E-2"/>
    <s v="low"/>
    <n v="36321.56"/>
    <n v="1489.1839600000001"/>
    <n v="29"/>
    <n v="743"/>
    <x v="4"/>
    <n v="2"/>
    <s v="Good"/>
    <n v="4"/>
    <n v="8126.26"/>
    <s v="High Income"/>
    <s v="Self-employed"/>
    <s v="With Loan"/>
    <s v="Low-Risk"/>
  </r>
  <r>
    <s v="T000375"/>
    <s v="C1559"/>
    <s v="AC23881178"/>
    <x v="85"/>
    <x v="5"/>
    <x v="2"/>
    <x v="3"/>
    <n v="9496.2099999999991"/>
    <x v="1"/>
    <n v="4849.33"/>
    <s v="Low"/>
    <x v="2"/>
    <n v="32"/>
    <x v="0"/>
    <s v="Male"/>
    <s v="Savings"/>
    <x v="302"/>
    <s v="EUR"/>
    <x v="0"/>
    <n v="4.2099999999999999E-2"/>
    <n v="4.21"/>
    <s v="high"/>
    <n v="26681.654999999999"/>
    <n v="1123.2976755"/>
    <n v="4"/>
    <n v="726"/>
    <x v="3"/>
    <n v="1"/>
    <s v="Default"/>
    <n v="3"/>
    <n v="2348.02"/>
    <s v="Low Income"/>
    <s v="Self-employed"/>
    <s v="Without Loan"/>
    <s v="Low-Risk"/>
  </r>
  <r>
    <s v="T000376"/>
    <s v="C4672"/>
    <s v="AC99089996"/>
    <x v="242"/>
    <x v="23"/>
    <x v="9"/>
    <x v="3"/>
    <n v="5177.7299999999996"/>
    <x v="0"/>
    <n v="37287.67"/>
    <s v="Medium"/>
    <x v="4"/>
    <n v="65"/>
    <x v="3"/>
    <s v="Female"/>
    <s v="Checking"/>
    <x v="241"/>
    <s v="USD"/>
    <x v="2"/>
    <n v="3.1300000000000001E-2"/>
    <n v="3.13"/>
    <s v="low"/>
    <n v="13060.37"/>
    <n v="408.78958100000006"/>
    <n v="13"/>
    <n v="786"/>
    <x v="4"/>
    <n v="2"/>
    <s v="Good"/>
    <n v="4"/>
    <n v="3195.19"/>
    <s v="Middle Income"/>
    <s v="Self-employed"/>
    <s v="With Loan"/>
    <s v="Low-Risk"/>
  </r>
  <r>
    <s v="T000377"/>
    <s v="C8404"/>
    <s v="AC83135852"/>
    <x v="241"/>
    <x v="1"/>
    <x v="11"/>
    <x v="2"/>
    <n v="1027.3599999999999"/>
    <x v="1"/>
    <n v="5650.51"/>
    <s v="Low"/>
    <x v="0"/>
    <n v="53"/>
    <x v="2"/>
    <s v="Male"/>
    <s v="Checking"/>
    <x v="303"/>
    <s v="USD"/>
    <x v="0"/>
    <n v="1.7500000000000002E-2"/>
    <n v="1.75"/>
    <s v="low"/>
    <n v="26681.654999999999"/>
    <n v="466.92896250000001"/>
    <n v="13"/>
    <n v="503"/>
    <x v="0"/>
    <n v="1"/>
    <s v="Default"/>
    <n v="1"/>
    <n v="10917.08"/>
    <s v="High Income"/>
    <s v="Unemployed"/>
    <s v="Without Loan"/>
    <s v="Low-Risk"/>
  </r>
  <r>
    <s v="T000378"/>
    <s v="C4343"/>
    <s v="AC75111328"/>
    <x v="132"/>
    <x v="28"/>
    <x v="9"/>
    <x v="0"/>
    <n v="7570.75"/>
    <x v="0"/>
    <n v="30110.06"/>
    <s v="Medium"/>
    <x v="3"/>
    <n v="38"/>
    <x v="1"/>
    <s v="Male"/>
    <s v="Savings"/>
    <x v="111"/>
    <s v="USD"/>
    <x v="0"/>
    <n v="2.7E-2"/>
    <n v="2.7E-2"/>
    <s v="low"/>
    <n v="7343.96"/>
    <n v="198.28692000000001"/>
    <n v="13"/>
    <n v="411"/>
    <x v="0"/>
    <n v="1"/>
    <s v="Default"/>
    <n v="1"/>
    <n v="7576.61"/>
    <s v="High Income"/>
    <s v="Employed"/>
    <s v="With Loan"/>
    <s v="Low-Risk"/>
  </r>
  <r>
    <s v="T000379"/>
    <s v="C5070"/>
    <s v="AC25590661"/>
    <x v="286"/>
    <x v="17"/>
    <x v="7"/>
    <x v="2"/>
    <n v="4970.12"/>
    <x v="0"/>
    <n v="35429.370000000003"/>
    <s v="Medium"/>
    <x v="0"/>
    <n v="23"/>
    <x v="4"/>
    <s v="Female"/>
    <s v="Credit"/>
    <x v="304"/>
    <s v="USD"/>
    <x v="0"/>
    <n v="3.2000000000000001E-2"/>
    <n v="3.2000000000000001E-2"/>
    <s v="low"/>
    <n v="24621.87"/>
    <n v="787.89984000000004"/>
    <n v="13"/>
    <n v="624"/>
    <x v="2"/>
    <n v="1"/>
    <s v="Default"/>
    <n v="2"/>
    <n v="13242.27"/>
    <s v="High Income"/>
    <s v="Unemployed"/>
    <s v="With Loan"/>
    <s v="Low-Risk"/>
  </r>
  <r>
    <s v="T000380"/>
    <s v="C1580"/>
    <s v="AC79475474"/>
    <x v="287"/>
    <x v="22"/>
    <x v="0"/>
    <x v="0"/>
    <n v="3094.23"/>
    <x v="1"/>
    <n v="4259.8500000000004"/>
    <s v="Low"/>
    <x v="4"/>
    <n v="18"/>
    <x v="4"/>
    <s v="Female"/>
    <s v="Credit"/>
    <x v="305"/>
    <s v="GBP"/>
    <x v="2"/>
    <n v="3.7100000000000001E-2"/>
    <n v="3.71"/>
    <s v="low"/>
    <n v="26681.654999999999"/>
    <n v="989.88940049999997"/>
    <n v="23"/>
    <n v="557"/>
    <x v="0"/>
    <n v="2"/>
    <s v="Good"/>
    <n v="1"/>
    <n v="11030.74"/>
    <s v="High Income"/>
    <s v="Self-employed"/>
    <s v="Without Loan"/>
    <s v="Low-Risk"/>
  </r>
  <r>
    <s v="T000381"/>
    <s v="C8004"/>
    <s v="AC19456807"/>
    <x v="288"/>
    <x v="12"/>
    <x v="11"/>
    <x v="3"/>
    <n v="4965.04"/>
    <x v="1"/>
    <n v="12308.94"/>
    <s v="Medium"/>
    <x v="4"/>
    <n v="21"/>
    <x v="4"/>
    <s v="Female"/>
    <s v="Checking"/>
    <x v="306"/>
    <s v="GBP"/>
    <x v="0"/>
    <n v="3.4299999999999997E-2"/>
    <n v="3.43"/>
    <s v="low"/>
    <n v="42824.9"/>
    <n v="1468.8940699999998"/>
    <n v="13"/>
    <n v="827"/>
    <x v="1"/>
    <n v="1"/>
    <s v="Default"/>
    <n v="5"/>
    <n v="2105.31"/>
    <s v="Low Income"/>
    <s v="Unemployed"/>
    <s v="With Loan"/>
    <s v="Low-Risk"/>
  </r>
  <r>
    <s v="T000382"/>
    <s v="C9130"/>
    <s v="AC39342048"/>
    <x v="202"/>
    <x v="4"/>
    <x v="6"/>
    <x v="3"/>
    <n v="5272.2"/>
    <x v="0"/>
    <n v="45867.94"/>
    <s v="Medium"/>
    <x v="3"/>
    <n v="28"/>
    <x v="0"/>
    <s v="Female"/>
    <s v="Credit"/>
    <x v="307"/>
    <s v="EUR"/>
    <x v="1"/>
    <n v="2.58E-2"/>
    <n v="2.58"/>
    <s v="low"/>
    <n v="26681.654999999999"/>
    <n v="688.38669900000002"/>
    <n v="13"/>
    <n v="649"/>
    <x v="2"/>
    <n v="0"/>
    <s v="Good"/>
    <n v="2"/>
    <n v="10017.26"/>
    <s v="High Income"/>
    <s v="Unemployed"/>
    <s v="Without Loan"/>
    <s v="Low-Risk"/>
  </r>
  <r>
    <s v="T000383"/>
    <s v="C4147"/>
    <s v="AC14684346"/>
    <x v="238"/>
    <x v="25"/>
    <x v="11"/>
    <x v="0"/>
    <n v="5670.85"/>
    <x v="0"/>
    <n v="31199.41"/>
    <s v="Medium"/>
    <x v="0"/>
    <n v="61"/>
    <x v="3"/>
    <s v="Female"/>
    <s v="Credit"/>
    <x v="141"/>
    <s v="GBP"/>
    <x v="0"/>
    <n v="2.06E-2"/>
    <n v="2.06"/>
    <s v="low"/>
    <n v="26681.654999999999"/>
    <n v="549.64209299999993"/>
    <n v="13"/>
    <n v="734"/>
    <x v="3"/>
    <n v="1"/>
    <s v="Default"/>
    <n v="3"/>
    <n v="3218.42"/>
    <s v="Middle Income"/>
    <s v="Self-employed"/>
    <s v="Without Loan"/>
    <s v="Low-Risk"/>
  </r>
  <r>
    <s v="T000384"/>
    <s v="C5249"/>
    <s v="AC27824559"/>
    <x v="253"/>
    <x v="25"/>
    <x v="1"/>
    <x v="3"/>
    <n v="4468.1099999999997"/>
    <x v="1"/>
    <n v="13068.01"/>
    <s v="Medium"/>
    <x v="0"/>
    <n v="43"/>
    <x v="1"/>
    <s v="Male"/>
    <s v="Savings"/>
    <x v="308"/>
    <s v="EUR"/>
    <x v="1"/>
    <n v="1.67E-2"/>
    <n v="1.67"/>
    <s v="low"/>
    <n v="25779.67"/>
    <n v="430.52048899999994"/>
    <n v="13"/>
    <n v="725"/>
    <x v="3"/>
    <n v="0"/>
    <s v="Good"/>
    <n v="3"/>
    <n v="12152.13"/>
    <s v="High Income"/>
    <s v="Unemployed"/>
    <s v="With Loan"/>
    <s v="Low-Risk"/>
  </r>
  <r>
    <s v="T000385"/>
    <s v="C2679"/>
    <s v="AC99605800"/>
    <x v="177"/>
    <x v="29"/>
    <x v="0"/>
    <x v="0"/>
    <n v="6096.98"/>
    <x v="0"/>
    <n v="34843.31"/>
    <s v="Medium"/>
    <x v="3"/>
    <n v="54"/>
    <x v="2"/>
    <s v="Female"/>
    <s v="Checking"/>
    <x v="309"/>
    <s v="EUR"/>
    <x v="2"/>
    <n v="3.78E-2"/>
    <n v="3.78"/>
    <s v="low"/>
    <n v="45965.59"/>
    <n v="1737.4993019999999"/>
    <n v="6"/>
    <n v="579"/>
    <x v="0"/>
    <n v="2"/>
    <s v="Good"/>
    <n v="1"/>
    <n v="14889.6"/>
    <s v="High Income"/>
    <s v="Unemployed"/>
    <s v="With Loan"/>
    <s v="High-Risk"/>
  </r>
  <r>
    <s v="T000386"/>
    <s v="C4506"/>
    <s v="AC95641772"/>
    <x v="289"/>
    <x v="17"/>
    <x v="1"/>
    <x v="1"/>
    <n v="9195.4699999999993"/>
    <x v="0"/>
    <n v="30242.04"/>
    <s v="Medium"/>
    <x v="0"/>
    <n v="40"/>
    <x v="1"/>
    <s v="Female"/>
    <s v="Checking"/>
    <x v="155"/>
    <s v="GBP"/>
    <x v="2"/>
    <n v="3.5799999999999998E-2"/>
    <n v="3.58"/>
    <s v="low"/>
    <n v="26681.654999999999"/>
    <n v="955.20324899999991"/>
    <n v="13"/>
    <n v="670"/>
    <x v="3"/>
    <n v="2"/>
    <s v="Good"/>
    <n v="3"/>
    <n v="8905.58"/>
    <s v="High Income"/>
    <s v="Employed"/>
    <s v="Without Loan"/>
    <s v="Low-Risk"/>
  </r>
  <r>
    <s v="T000387"/>
    <s v="C8253"/>
    <s v="AC52827096"/>
    <x v="290"/>
    <x v="27"/>
    <x v="5"/>
    <x v="2"/>
    <n v="3686.45"/>
    <x v="0"/>
    <n v="25577.21"/>
    <s v="Medium"/>
    <x v="3"/>
    <n v="46"/>
    <x v="2"/>
    <s v="Female"/>
    <s v="Savings"/>
    <x v="310"/>
    <s v="EUR"/>
    <x v="0"/>
    <n v="3.7499999999999999E-2"/>
    <n v="3.75"/>
    <s v="low"/>
    <n v="26681.654999999999"/>
    <n v="1000.5620624999999"/>
    <n v="13"/>
    <n v="548"/>
    <x v="0"/>
    <n v="1"/>
    <s v="Default"/>
    <n v="1"/>
    <n v="10876.13"/>
    <s v="High Income"/>
    <s v="Unemployed"/>
    <s v="Without Loan"/>
    <s v="Low-Risk"/>
  </r>
  <r>
    <s v="T000388"/>
    <s v="C3744"/>
    <s v="AC61900771"/>
    <x v="258"/>
    <x v="12"/>
    <x v="6"/>
    <x v="1"/>
    <n v="7284.59"/>
    <x v="0"/>
    <n v="48833.16"/>
    <s v="Medium"/>
    <x v="2"/>
    <n v="38"/>
    <x v="1"/>
    <s v="Male"/>
    <s v="Credit"/>
    <x v="42"/>
    <s v="USD"/>
    <x v="0"/>
    <n v="2.4899999999999999E-2"/>
    <n v="2.4900000000000002"/>
    <s v="low"/>
    <n v="26681.654999999999"/>
    <n v="664.37320949999992"/>
    <n v="13"/>
    <n v="480"/>
    <x v="0"/>
    <n v="1"/>
    <s v="Default"/>
    <n v="1"/>
    <n v="5085.08"/>
    <s v="High Income"/>
    <s v="Employed"/>
    <s v="Without Loan"/>
    <s v="Low-Risk"/>
  </r>
  <r>
    <s v="T000389"/>
    <s v="C6188"/>
    <s v="AC59352346"/>
    <x v="291"/>
    <x v="4"/>
    <x v="4"/>
    <x v="0"/>
    <n v="8955.08"/>
    <x v="0"/>
    <n v="34489.24"/>
    <s v="Medium"/>
    <x v="4"/>
    <n v="65"/>
    <x v="3"/>
    <s v="Female"/>
    <s v="Checking"/>
    <x v="311"/>
    <s v="EUR"/>
    <x v="0"/>
    <n v="2.0500000000000001E-2"/>
    <n v="2.0499999999999998"/>
    <s v="low"/>
    <n v="38061.86"/>
    <n v="780.26813000000004"/>
    <n v="13"/>
    <n v="377"/>
    <x v="0"/>
    <n v="1"/>
    <s v="Default"/>
    <n v="1"/>
    <n v="7688.77"/>
    <s v="High Income"/>
    <s v="Self-employed"/>
    <s v="With Loan"/>
    <s v="High-Risk"/>
  </r>
  <r>
    <s v="T000390"/>
    <s v="C3141"/>
    <s v="AC21667877"/>
    <x v="292"/>
    <x v="11"/>
    <x v="8"/>
    <x v="2"/>
    <n v="4614.1899999999996"/>
    <x v="1"/>
    <n v="19396.61"/>
    <s v="Medium"/>
    <x v="2"/>
    <n v="62"/>
    <x v="3"/>
    <s v="Female"/>
    <s v="Credit"/>
    <x v="312"/>
    <s v="USD"/>
    <x v="1"/>
    <n v="4.0399999999999998E-2"/>
    <n v="4.04"/>
    <s v="high"/>
    <n v="26681.654999999999"/>
    <n v="1077.938862"/>
    <n v="24"/>
    <n v="635"/>
    <x v="2"/>
    <n v="0"/>
    <s v="Good"/>
    <n v="2"/>
    <n v="13129.24"/>
    <s v="High Income"/>
    <s v="Employed"/>
    <s v="Without Loan"/>
    <s v="Low-Risk"/>
  </r>
  <r>
    <s v="T000391"/>
    <s v="C7617"/>
    <s v="AC17393979"/>
    <x v="293"/>
    <x v="9"/>
    <x v="4"/>
    <x v="0"/>
    <n v="4490.21"/>
    <x v="0"/>
    <n v="40203.599999999999"/>
    <s v="Medium"/>
    <x v="1"/>
    <n v="62"/>
    <x v="3"/>
    <s v="Female"/>
    <s v="Checking"/>
    <x v="313"/>
    <s v="GBP"/>
    <x v="2"/>
    <n v="4.0899999999999999E-2"/>
    <n v="4.09"/>
    <s v="high"/>
    <n v="16355.03"/>
    <n v="668.92072700000006"/>
    <n v="13"/>
    <n v="349"/>
    <x v="0"/>
    <n v="2"/>
    <s v="Good"/>
    <n v="1"/>
    <n v="4176.5"/>
    <s v="Middle Income"/>
    <s v="Unemployed"/>
    <s v="With Loan"/>
    <s v="Low-Risk"/>
  </r>
  <r>
    <s v="T000392"/>
    <s v="C3479"/>
    <s v="AC20115078"/>
    <x v="100"/>
    <x v="9"/>
    <x v="10"/>
    <x v="2"/>
    <n v="6060.96"/>
    <x v="0"/>
    <n v="44344.58"/>
    <s v="Medium"/>
    <x v="1"/>
    <n v="66"/>
    <x v="3"/>
    <s v="Male"/>
    <s v="Checking"/>
    <x v="314"/>
    <s v="GBP"/>
    <x v="1"/>
    <n v="2.8199999999999999E-2"/>
    <n v="2.82"/>
    <s v="low"/>
    <n v="23661.42"/>
    <n v="667.25204399999996"/>
    <n v="13"/>
    <n v="384"/>
    <x v="0"/>
    <n v="0"/>
    <s v="Good"/>
    <n v="1"/>
    <n v="5451.96"/>
    <s v="High Income"/>
    <s v="Self-employed"/>
    <s v="With Loan"/>
    <s v="Low-Risk"/>
  </r>
  <r>
    <s v="T000393"/>
    <s v="C7484"/>
    <s v="AC38506244"/>
    <x v="294"/>
    <x v="4"/>
    <x v="8"/>
    <x v="2"/>
    <n v="5954.93"/>
    <x v="1"/>
    <n v="7135.81"/>
    <s v="Low"/>
    <x v="1"/>
    <n v="44"/>
    <x v="1"/>
    <s v="Female"/>
    <s v="Checking"/>
    <x v="315"/>
    <s v="EUR"/>
    <x v="1"/>
    <n v="3.4500000000000003E-2"/>
    <n v="3.45"/>
    <s v="low"/>
    <n v="26681.654999999999"/>
    <n v="920.51709750000009"/>
    <n v="13"/>
    <n v="303"/>
    <x v="0"/>
    <n v="0"/>
    <s v="Good"/>
    <n v="1"/>
    <n v="7790.64"/>
    <s v="High Income"/>
    <s v="Unemployed"/>
    <s v="Without Loan"/>
    <s v="Low-Risk"/>
  </r>
  <r>
    <s v="T000394"/>
    <s v="C8421"/>
    <s v="AC35214698"/>
    <x v="182"/>
    <x v="29"/>
    <x v="6"/>
    <x v="2"/>
    <n v="8085.23"/>
    <x v="1"/>
    <n v="10827.1"/>
    <s v="Medium"/>
    <x v="3"/>
    <n v="56"/>
    <x v="2"/>
    <s v="Female"/>
    <s v="Checking"/>
    <x v="316"/>
    <s v="USD"/>
    <x v="0"/>
    <n v="2.4899999999999999E-2"/>
    <n v="2.4900000000000002"/>
    <s v="low"/>
    <n v="26681.654999999999"/>
    <n v="664.37320949999992"/>
    <n v="6"/>
    <n v="616"/>
    <x v="2"/>
    <n v="1"/>
    <s v="Default"/>
    <n v="2"/>
    <n v="11259.24"/>
    <s v="High Income"/>
    <s v="Unemployed"/>
    <s v="Without Loan"/>
    <s v="Low-Risk"/>
  </r>
  <r>
    <s v="T000395"/>
    <s v="C5452"/>
    <s v="AC27486878"/>
    <x v="295"/>
    <x v="22"/>
    <x v="3"/>
    <x v="2"/>
    <n v="4817.1899999999996"/>
    <x v="1"/>
    <n v="11595.12"/>
    <s v="Medium"/>
    <x v="0"/>
    <n v="57"/>
    <x v="2"/>
    <s v="Female"/>
    <s v="Credit"/>
    <x v="317"/>
    <s v="EUR"/>
    <x v="0"/>
    <n v="3.8100000000000002E-2"/>
    <n v="3.81"/>
    <s v="low"/>
    <n v="9667.86"/>
    <n v="368.34546600000004"/>
    <n v="13"/>
    <n v="410"/>
    <x v="0"/>
    <n v="1"/>
    <s v="Default"/>
    <n v="1"/>
    <n v="6886.49"/>
    <s v="High Income"/>
    <s v="Employed"/>
    <s v="With Loan"/>
    <s v="Low-Risk"/>
  </r>
  <r>
    <s v="T000396"/>
    <s v="C6881"/>
    <s v="AC67195030"/>
    <x v="188"/>
    <x v="11"/>
    <x v="0"/>
    <x v="0"/>
    <n v="9961.6200000000008"/>
    <x v="0"/>
    <n v="34869.379999999997"/>
    <s v="Medium"/>
    <x v="2"/>
    <n v="30"/>
    <x v="0"/>
    <s v="Male"/>
    <s v="Credit"/>
    <x v="318"/>
    <s v="GBP"/>
    <x v="1"/>
    <n v="4.3400000000000001E-2"/>
    <n v="4.34"/>
    <s v="high"/>
    <n v="42615.93"/>
    <n v="1849.5313620000002"/>
    <n v="13"/>
    <n v="633"/>
    <x v="2"/>
    <n v="0"/>
    <s v="Good"/>
    <n v="2"/>
    <n v="14060.52"/>
    <s v="High Income"/>
    <s v="Unemployed"/>
    <s v="With Loan"/>
    <s v="Low-Risk"/>
  </r>
  <r>
    <s v="T000397"/>
    <s v="C7665"/>
    <s v="AC32098345"/>
    <x v="296"/>
    <x v="23"/>
    <x v="8"/>
    <x v="2"/>
    <n v="688.77"/>
    <x v="0"/>
    <n v="30548.94"/>
    <s v="Medium"/>
    <x v="2"/>
    <n v="40"/>
    <x v="1"/>
    <s v="Male"/>
    <s v="Credit"/>
    <x v="319"/>
    <s v="EUR"/>
    <x v="1"/>
    <n v="3.7499999999999999E-2"/>
    <n v="3.75"/>
    <s v="low"/>
    <n v="41654.92"/>
    <n v="1562.0594999999998"/>
    <n v="7"/>
    <n v="432"/>
    <x v="0"/>
    <n v="0"/>
    <s v="Good"/>
    <n v="1"/>
    <n v="3227.94"/>
    <s v="Middle Income"/>
    <s v="Employed"/>
    <s v="With Loan"/>
    <s v="High-Risk"/>
  </r>
  <r>
    <s v="T000398"/>
    <s v="C3849"/>
    <s v="AC26620937"/>
    <x v="297"/>
    <x v="2"/>
    <x v="3"/>
    <x v="2"/>
    <n v="131.36000000000001"/>
    <x v="0"/>
    <n v="31330.59"/>
    <s v="Medium"/>
    <x v="2"/>
    <n v="33"/>
    <x v="0"/>
    <s v="Male"/>
    <s v="Credit"/>
    <x v="125"/>
    <s v="EUR"/>
    <x v="0"/>
    <n v="3.0499999999999999E-2"/>
    <n v="3.05"/>
    <s v="low"/>
    <n v="29012.23"/>
    <n v="884.87301500000001"/>
    <n v="13"/>
    <n v="418"/>
    <x v="0"/>
    <n v="1"/>
    <s v="Default"/>
    <n v="1"/>
    <n v="6820.45"/>
    <s v="High Income"/>
    <s v="Self-employed"/>
    <s v="With Loan"/>
    <s v="Low-Risk"/>
  </r>
  <r>
    <s v="T000399"/>
    <s v="C8390"/>
    <s v="AC41984287"/>
    <x v="133"/>
    <x v="2"/>
    <x v="2"/>
    <x v="1"/>
    <n v="6437.96"/>
    <x v="0"/>
    <n v="47097.89"/>
    <s v="Medium"/>
    <x v="2"/>
    <n v="47"/>
    <x v="2"/>
    <s v="Male"/>
    <s v="Savings"/>
    <x v="320"/>
    <s v="USD"/>
    <x v="0"/>
    <n v="2.8299999999999999E-2"/>
    <n v="2.83"/>
    <s v="low"/>
    <n v="26681.654999999999"/>
    <n v="755.09083649999991"/>
    <n v="12"/>
    <n v="649"/>
    <x v="2"/>
    <n v="1"/>
    <s v="Default"/>
    <n v="2"/>
    <n v="11216.4"/>
    <s v="High Income"/>
    <s v="Self-employed"/>
    <s v="Without Loan"/>
    <s v="Low-Risk"/>
  </r>
  <r>
    <s v="T000400"/>
    <s v="C7905"/>
    <s v="AC52413492"/>
    <x v="286"/>
    <x v="17"/>
    <x v="7"/>
    <x v="3"/>
    <n v="3054.51"/>
    <x v="0"/>
    <n v="39019.67"/>
    <s v="Medium"/>
    <x v="1"/>
    <n v="21"/>
    <x v="4"/>
    <s v="Female"/>
    <s v="Checking"/>
    <x v="321"/>
    <s v="GBP"/>
    <x v="1"/>
    <n v="3.5700000000000003E-2"/>
    <n v="3.57"/>
    <s v="low"/>
    <n v="6151.05"/>
    <n v="219.59248500000001"/>
    <n v="16"/>
    <n v="841"/>
    <x v="1"/>
    <n v="0"/>
    <s v="Good"/>
    <n v="5"/>
    <n v="4937.83"/>
    <s v="Middle Income"/>
    <s v="Unemployed"/>
    <s v="With Loan"/>
    <s v="Low-Risk"/>
  </r>
  <r>
    <s v="T000401"/>
    <s v="C3489"/>
    <s v="AC20528294"/>
    <x v="263"/>
    <x v="25"/>
    <x v="3"/>
    <x v="3"/>
    <n v="2479.79"/>
    <x v="1"/>
    <n v="7268.91"/>
    <s v="Low"/>
    <x v="2"/>
    <n v="57"/>
    <x v="2"/>
    <s v="Female"/>
    <s v="Checking"/>
    <x v="322"/>
    <s v="EUR"/>
    <x v="0"/>
    <n v="3.7199999999999997E-2"/>
    <n v="3.72"/>
    <s v="low"/>
    <n v="26681.654999999999"/>
    <n v="992.55756599999984"/>
    <n v="13"/>
    <n v="354"/>
    <x v="0"/>
    <n v="1"/>
    <s v="Default"/>
    <n v="1"/>
    <n v="10533.37"/>
    <s v="High Income"/>
    <s v="Employed"/>
    <s v="Without Loan"/>
    <s v="Low-Risk"/>
  </r>
  <r>
    <s v="T000402"/>
    <s v="C5611"/>
    <s v="AC29369886"/>
    <x v="265"/>
    <x v="27"/>
    <x v="9"/>
    <x v="1"/>
    <n v="3187.8"/>
    <x v="1"/>
    <n v="18027.849999999999"/>
    <s v="Medium"/>
    <x v="0"/>
    <n v="33"/>
    <x v="0"/>
    <s v="Male"/>
    <s v="Checking"/>
    <x v="277"/>
    <s v="USD"/>
    <x v="0"/>
    <n v="3.2300000000000002E-2"/>
    <n v="3.23"/>
    <s v="low"/>
    <n v="26681.654999999999"/>
    <n v="861.81745650000005"/>
    <n v="13"/>
    <n v="660"/>
    <x v="2"/>
    <n v="1"/>
    <s v="Default"/>
    <n v="2"/>
    <n v="4134.82"/>
    <s v="Middle Income"/>
    <s v="Unemployed"/>
    <s v="Without Loan"/>
    <s v="Low-Risk"/>
  </r>
  <r>
    <s v="T000403"/>
    <s v="C3839"/>
    <s v="AC14810833"/>
    <x v="298"/>
    <x v="0"/>
    <x v="4"/>
    <x v="1"/>
    <n v="2634.87"/>
    <x v="0"/>
    <n v="22334.29"/>
    <s v="Medium"/>
    <x v="1"/>
    <n v="48"/>
    <x v="2"/>
    <s v="Male"/>
    <s v="Savings"/>
    <x v="223"/>
    <s v="EUR"/>
    <x v="1"/>
    <n v="3.5000000000000003E-2"/>
    <n v="3.5000000000000003E-2"/>
    <s v="low"/>
    <n v="26681.654999999999"/>
    <n v="933.85792500000002"/>
    <n v="23"/>
    <n v="752"/>
    <x v="4"/>
    <n v="0"/>
    <s v="Good"/>
    <n v="4"/>
    <n v="2727.74"/>
    <s v="Low Income"/>
    <s v="Unemployed"/>
    <s v="Without Loan"/>
    <s v="Low-Risk"/>
  </r>
  <r>
    <s v="T000404"/>
    <s v="C9527"/>
    <s v="AC33480675"/>
    <x v="267"/>
    <x v="14"/>
    <x v="0"/>
    <x v="0"/>
    <n v="404.82"/>
    <x v="0"/>
    <n v="20402.12"/>
    <s v="Medium"/>
    <x v="2"/>
    <n v="59"/>
    <x v="2"/>
    <s v="Female"/>
    <s v="Credit"/>
    <x v="323"/>
    <s v="USD"/>
    <x v="1"/>
    <n v="1.3899999999999999E-2"/>
    <n v="1.39"/>
    <s v="low"/>
    <n v="18671.32"/>
    <n v="259.53134799999998"/>
    <n v="2"/>
    <n v="629"/>
    <x v="2"/>
    <n v="0"/>
    <s v="Good"/>
    <n v="2"/>
    <n v="3573.2"/>
    <s v="Middle Income"/>
    <s v="Unemployed"/>
    <s v="With Loan"/>
    <s v="Low-Risk"/>
  </r>
  <r>
    <s v="T000405"/>
    <s v="C6878"/>
    <s v="AC94328141"/>
    <x v="152"/>
    <x v="17"/>
    <x v="2"/>
    <x v="0"/>
    <n v="9718.18"/>
    <x v="0"/>
    <n v="33796.120000000003"/>
    <s v="Medium"/>
    <x v="3"/>
    <n v="42"/>
    <x v="1"/>
    <s v="Female"/>
    <s v="Checking"/>
    <x v="21"/>
    <s v="USD"/>
    <x v="2"/>
    <n v="4.8099999999999997E-2"/>
    <n v="4.8099999999999996"/>
    <s v="high"/>
    <n v="27926.720000000001"/>
    <n v="1343.275232"/>
    <n v="13"/>
    <n v="518"/>
    <x v="0"/>
    <n v="2"/>
    <s v="Good"/>
    <n v="1"/>
    <n v="14089.8"/>
    <s v="High Income"/>
    <s v="Unemployed"/>
    <s v="With Loan"/>
    <s v="Low-Risk"/>
  </r>
  <r>
    <s v="T000406"/>
    <s v="C7303"/>
    <s v="AC38500556"/>
    <x v="299"/>
    <x v="7"/>
    <x v="9"/>
    <x v="0"/>
    <n v="2285.38"/>
    <x v="0"/>
    <n v="44702.76"/>
    <s v="Medium"/>
    <x v="4"/>
    <n v="61"/>
    <x v="3"/>
    <s v="Male"/>
    <s v="Credit"/>
    <x v="324"/>
    <s v="EUR"/>
    <x v="1"/>
    <n v="4.1599999999999998E-2"/>
    <n v="4.16"/>
    <s v="high"/>
    <n v="26681.654999999999"/>
    <n v="1109.9568479999998"/>
    <n v="8"/>
    <n v="507"/>
    <x v="0"/>
    <n v="0"/>
    <s v="Good"/>
    <n v="1"/>
    <n v="9172.76"/>
    <s v="High Income"/>
    <s v="Employed"/>
    <s v="Without Loan"/>
    <s v="Low-Risk"/>
  </r>
  <r>
    <s v="T000407"/>
    <s v="C1851"/>
    <s v="AC42073692"/>
    <x v="228"/>
    <x v="29"/>
    <x v="1"/>
    <x v="1"/>
    <n v="7366.89"/>
    <x v="1"/>
    <n v="15996.52"/>
    <s v="Medium"/>
    <x v="4"/>
    <n v="29"/>
    <x v="0"/>
    <s v="Male"/>
    <s v="Credit"/>
    <x v="315"/>
    <s v="GBP"/>
    <x v="0"/>
    <n v="2.5000000000000001E-2"/>
    <n v="2.5000000000000001E-2"/>
    <s v="low"/>
    <n v="26681.654999999999"/>
    <n v="667.04137500000002"/>
    <n v="25"/>
    <n v="384"/>
    <x v="0"/>
    <n v="1"/>
    <s v="Default"/>
    <n v="1"/>
    <n v="12352.5"/>
    <s v="High Income"/>
    <s v="Unemployed"/>
    <s v="Without Loan"/>
    <s v="Low-Risk"/>
  </r>
  <r>
    <s v="T000408"/>
    <s v="C2687"/>
    <s v="AC47316107"/>
    <x v="202"/>
    <x v="4"/>
    <x v="6"/>
    <x v="1"/>
    <n v="7649.7"/>
    <x v="0"/>
    <n v="28041.98"/>
    <s v="Medium"/>
    <x v="4"/>
    <n v="43"/>
    <x v="1"/>
    <s v="Male"/>
    <s v="Savings"/>
    <x v="315"/>
    <s v="GBP"/>
    <x v="1"/>
    <n v="3.2500000000000001E-2"/>
    <n v="3.25"/>
    <s v="low"/>
    <n v="26681.654999999999"/>
    <n v="867.15378750000002"/>
    <n v="13"/>
    <n v="544"/>
    <x v="0"/>
    <n v="0"/>
    <s v="Good"/>
    <n v="1"/>
    <n v="6324.51"/>
    <s v="High Income"/>
    <s v="Self-employed"/>
    <s v="Without Loan"/>
    <s v="Low-Risk"/>
  </r>
  <r>
    <s v="T000409"/>
    <s v="C7833"/>
    <s v="AC37427110"/>
    <x v="300"/>
    <x v="15"/>
    <x v="8"/>
    <x v="2"/>
    <n v="9299.65"/>
    <x v="0"/>
    <n v="39681.06"/>
    <s v="Medium"/>
    <x v="1"/>
    <n v="54"/>
    <x v="2"/>
    <s v="Male"/>
    <s v="Savings"/>
    <x v="102"/>
    <s v="USD"/>
    <x v="1"/>
    <n v="1.1900000000000001E-2"/>
    <n v="1.19"/>
    <s v="low"/>
    <n v="26681.654999999999"/>
    <n v="317.51169450000003"/>
    <n v="20"/>
    <n v="634"/>
    <x v="2"/>
    <n v="0"/>
    <s v="Good"/>
    <n v="2"/>
    <n v="9704.56"/>
    <s v="High Income"/>
    <s v="Employed"/>
    <s v="Without Loan"/>
    <s v="Low-Risk"/>
  </r>
  <r>
    <s v="T000410"/>
    <s v="C3427"/>
    <s v="AC34192961"/>
    <x v="88"/>
    <x v="30"/>
    <x v="3"/>
    <x v="0"/>
    <n v="402.44"/>
    <x v="0"/>
    <n v="21394.68"/>
    <s v="Medium"/>
    <x v="2"/>
    <n v="65"/>
    <x v="3"/>
    <s v="Female"/>
    <s v="Credit"/>
    <x v="66"/>
    <s v="GBP"/>
    <x v="1"/>
    <n v="1.1599999999999999E-2"/>
    <n v="1.1599999999999999"/>
    <s v="low"/>
    <n v="14684.93"/>
    <n v="170.34518799999998"/>
    <n v="16"/>
    <n v="511"/>
    <x v="0"/>
    <n v="0"/>
    <s v="Good"/>
    <n v="1"/>
    <n v="8434.3799999999992"/>
    <s v="High Income"/>
    <s v="Unemployed"/>
    <s v="With Loan"/>
    <s v="Low-Risk"/>
  </r>
  <r>
    <s v="T000411"/>
    <s v="C5000"/>
    <s v="AC34859871"/>
    <x v="301"/>
    <x v="15"/>
    <x v="8"/>
    <x v="0"/>
    <n v="8733.2800000000007"/>
    <x v="1"/>
    <n v="9237.7900000000009"/>
    <s v="Low"/>
    <x v="1"/>
    <n v="50"/>
    <x v="2"/>
    <s v="Male"/>
    <s v="Checking"/>
    <x v="325"/>
    <s v="USD"/>
    <x v="2"/>
    <n v="0.02"/>
    <n v="0.02"/>
    <s v="low"/>
    <n v="26681.654999999999"/>
    <n v="533.63310000000001"/>
    <n v="4"/>
    <n v="482"/>
    <x v="0"/>
    <n v="2"/>
    <s v="Good"/>
    <n v="1"/>
    <n v="14294.59"/>
    <s v="High Income"/>
    <s v="Employed"/>
    <s v="Without Loan"/>
    <s v="Low-Risk"/>
  </r>
  <r>
    <s v="T000412"/>
    <s v="C6052"/>
    <s v="AC69844250"/>
    <x v="151"/>
    <x v="18"/>
    <x v="7"/>
    <x v="0"/>
    <n v="5319.54"/>
    <x v="0"/>
    <n v="24272.6"/>
    <s v="Medium"/>
    <x v="0"/>
    <n v="45"/>
    <x v="1"/>
    <s v="Male"/>
    <s v="Checking"/>
    <x v="44"/>
    <s v="GBP"/>
    <x v="2"/>
    <n v="3.7600000000000001E-2"/>
    <n v="3.76"/>
    <s v="low"/>
    <n v="28932.06"/>
    <n v="1087.845456"/>
    <n v="29"/>
    <n v="432"/>
    <x v="0"/>
    <n v="2"/>
    <s v="Good"/>
    <n v="1"/>
    <n v="11718.47"/>
    <s v="High Income"/>
    <s v="Unemployed"/>
    <s v="With Loan"/>
    <s v="Low-Risk"/>
  </r>
  <r>
    <s v="T000413"/>
    <s v="C3738"/>
    <s v="AC63412976"/>
    <x v="79"/>
    <x v="28"/>
    <x v="5"/>
    <x v="3"/>
    <n v="6362.19"/>
    <x v="1"/>
    <n v="3705.9"/>
    <s v="Low"/>
    <x v="3"/>
    <n v="26"/>
    <x v="0"/>
    <s v="Female"/>
    <s v="Savings"/>
    <x v="326"/>
    <s v="EUR"/>
    <x v="0"/>
    <n v="4.41E-2"/>
    <n v="4.41"/>
    <s v="high"/>
    <n v="7795.66"/>
    <n v="343.78860600000002"/>
    <n v="16"/>
    <n v="649"/>
    <x v="2"/>
    <n v="1"/>
    <s v="Default"/>
    <n v="2"/>
    <n v="11497.05"/>
    <s v="High Income"/>
    <s v="Self-employed"/>
    <s v="With Loan"/>
    <s v="Low-Risk"/>
  </r>
  <r>
    <s v="T000414"/>
    <s v="C6732"/>
    <s v="AC39263888"/>
    <x v="169"/>
    <x v="10"/>
    <x v="6"/>
    <x v="2"/>
    <n v="6480.26"/>
    <x v="0"/>
    <n v="47176.79"/>
    <s v="Medium"/>
    <x v="3"/>
    <n v="29"/>
    <x v="0"/>
    <s v="Female"/>
    <s v="Savings"/>
    <x v="264"/>
    <s v="GBP"/>
    <x v="2"/>
    <n v="3.2399999999999998E-2"/>
    <n v="3.24"/>
    <s v="low"/>
    <n v="39495.08"/>
    <n v="1279.640592"/>
    <n v="20"/>
    <n v="581"/>
    <x v="2"/>
    <n v="2"/>
    <s v="Good"/>
    <n v="2"/>
    <n v="2602.59"/>
    <s v="Low Income"/>
    <s v="Self-employed"/>
    <s v="With Loan"/>
    <s v="High-Risk"/>
  </r>
  <r>
    <s v="T000415"/>
    <s v="C6387"/>
    <s v="AC52106078"/>
    <x v="302"/>
    <x v="8"/>
    <x v="2"/>
    <x v="0"/>
    <n v="8216"/>
    <x v="1"/>
    <n v="4666.24"/>
    <s v="Low"/>
    <x v="4"/>
    <n v="22"/>
    <x v="4"/>
    <s v="Female"/>
    <s v="Savings"/>
    <x v="164"/>
    <s v="USD"/>
    <x v="1"/>
    <n v="3.1300000000000001E-2"/>
    <n v="3.13"/>
    <s v="low"/>
    <n v="37364.519999999997"/>
    <n v="1169.5094759999999"/>
    <n v="13"/>
    <n v="592"/>
    <x v="2"/>
    <n v="0"/>
    <s v="Good"/>
    <n v="2"/>
    <n v="9145.7099999999991"/>
    <s v="High Income"/>
    <s v="Self-employed"/>
    <s v="With Loan"/>
    <s v="High-Risk"/>
  </r>
  <r>
    <s v="T000416"/>
    <s v="C9002"/>
    <s v="AC17281505"/>
    <x v="303"/>
    <x v="24"/>
    <x v="5"/>
    <x v="0"/>
    <n v="3400.73"/>
    <x v="0"/>
    <n v="22484.38"/>
    <s v="Medium"/>
    <x v="4"/>
    <n v="69"/>
    <x v="3"/>
    <s v="Female"/>
    <s v="Savings"/>
    <x v="63"/>
    <s v="USD"/>
    <x v="2"/>
    <n v="2.6100000000000002E-2"/>
    <n v="2.61"/>
    <s v="low"/>
    <n v="26681.654999999999"/>
    <n v="696.39119549999998"/>
    <n v="27"/>
    <n v="568"/>
    <x v="0"/>
    <n v="2"/>
    <s v="Good"/>
    <n v="1"/>
    <n v="8070.89"/>
    <s v="High Income"/>
    <s v="Employed"/>
    <s v="Without Loan"/>
    <s v="Low-Risk"/>
  </r>
  <r>
    <s v="T000417"/>
    <s v="C6536"/>
    <s v="AC48679227"/>
    <x v="230"/>
    <x v="19"/>
    <x v="0"/>
    <x v="0"/>
    <n v="7357.21"/>
    <x v="0"/>
    <n v="26964.18"/>
    <s v="Medium"/>
    <x v="4"/>
    <n v="45"/>
    <x v="1"/>
    <s v="Female"/>
    <s v="Savings"/>
    <x v="19"/>
    <s v="GBP"/>
    <x v="1"/>
    <n v="1.6500000000000001E-2"/>
    <n v="1.65"/>
    <s v="low"/>
    <n v="33780.29"/>
    <n v="557.37478500000009"/>
    <n v="13"/>
    <n v="496"/>
    <x v="0"/>
    <n v="0"/>
    <s v="Good"/>
    <n v="1"/>
    <n v="14061.95"/>
    <s v="High Income"/>
    <s v="Self-employed"/>
    <s v="With Loan"/>
    <s v="High-Risk"/>
  </r>
  <r>
    <s v="T000418"/>
    <s v="C4913"/>
    <s v="AC48965695"/>
    <x v="304"/>
    <x v="26"/>
    <x v="0"/>
    <x v="3"/>
    <n v="5332.92"/>
    <x v="0"/>
    <n v="49279.89"/>
    <s v="Medium"/>
    <x v="2"/>
    <n v="52"/>
    <x v="2"/>
    <s v="Male"/>
    <s v="Savings"/>
    <x v="327"/>
    <s v="EUR"/>
    <x v="2"/>
    <n v="1.47E-2"/>
    <n v="1.47"/>
    <s v="low"/>
    <n v="26681.654999999999"/>
    <n v="392.22032849999999"/>
    <n v="13"/>
    <n v="836"/>
    <x v="1"/>
    <n v="2"/>
    <s v="Good"/>
    <n v="5"/>
    <n v="5345.45"/>
    <s v="High Income"/>
    <s v="Unemployed"/>
    <s v="Without Loan"/>
    <s v="Low-Risk"/>
  </r>
  <r>
    <s v="T000419"/>
    <s v="C2066"/>
    <s v="AC47518167"/>
    <x v="24"/>
    <x v="6"/>
    <x v="1"/>
    <x v="3"/>
    <n v="7954.6"/>
    <x v="1"/>
    <n v="9135.07"/>
    <s v="Low"/>
    <x v="0"/>
    <n v="22"/>
    <x v="4"/>
    <s v="Male"/>
    <s v="Savings"/>
    <x v="328"/>
    <s v="USD"/>
    <x v="2"/>
    <n v="4.0399999999999998E-2"/>
    <n v="4.04"/>
    <s v="high"/>
    <n v="16391.849999999999"/>
    <n v="662.23073999999997"/>
    <n v="13"/>
    <n v="319"/>
    <x v="0"/>
    <n v="2"/>
    <s v="Good"/>
    <n v="1"/>
    <n v="5507.83"/>
    <s v="High Income"/>
    <s v="Unemployed"/>
    <s v="With Loan"/>
    <s v="Low-Risk"/>
  </r>
  <r>
    <s v="T000420"/>
    <s v="C8723"/>
    <s v="AC36540396"/>
    <x v="222"/>
    <x v="28"/>
    <x v="2"/>
    <x v="1"/>
    <n v="9906.41"/>
    <x v="1"/>
    <n v="6607.14"/>
    <s v="Low"/>
    <x v="0"/>
    <n v="51"/>
    <x v="2"/>
    <s v="Male"/>
    <s v="Checking"/>
    <x v="92"/>
    <s v="USD"/>
    <x v="2"/>
    <n v="4.7100000000000003E-2"/>
    <n v="4.71"/>
    <s v="high"/>
    <n v="26681.654999999999"/>
    <n v="1256.7059505"/>
    <n v="13"/>
    <n v="704"/>
    <x v="3"/>
    <n v="2"/>
    <s v="Good"/>
    <n v="3"/>
    <n v="7347.5"/>
    <s v="High Income"/>
    <s v="Unemployed"/>
    <s v="Without Loan"/>
    <s v="Low-Risk"/>
  </r>
  <r>
    <s v="T000421"/>
    <s v="C5380"/>
    <s v="AC24812143"/>
    <x v="52"/>
    <x v="26"/>
    <x v="2"/>
    <x v="2"/>
    <n v="2086.4499999999998"/>
    <x v="1"/>
    <n v="1426.6"/>
    <s v="Low"/>
    <x v="0"/>
    <n v="63"/>
    <x v="3"/>
    <s v="Female"/>
    <s v="Savings"/>
    <x v="329"/>
    <s v="USD"/>
    <x v="1"/>
    <n v="2.8299999999999999E-2"/>
    <n v="2.83"/>
    <s v="low"/>
    <n v="26681.654999999999"/>
    <n v="755.09083649999991"/>
    <n v="13"/>
    <n v="414"/>
    <x v="0"/>
    <n v="0"/>
    <s v="Good"/>
    <n v="1"/>
    <n v="5163.8100000000004"/>
    <s v="High Income"/>
    <s v="Employed"/>
    <s v="Without Loan"/>
    <s v="Low-Risk"/>
  </r>
  <r>
    <s v="T000422"/>
    <s v="C5107"/>
    <s v="AC66825157"/>
    <x v="179"/>
    <x v="4"/>
    <x v="6"/>
    <x v="1"/>
    <n v="9947.02"/>
    <x v="1"/>
    <n v="8623"/>
    <s v="Low"/>
    <x v="0"/>
    <n v="51"/>
    <x v="2"/>
    <s v="Male"/>
    <s v="Savings"/>
    <x v="330"/>
    <s v="USD"/>
    <x v="2"/>
    <n v="3.6400000000000002E-2"/>
    <n v="3.64"/>
    <s v="low"/>
    <n v="26681.654999999999"/>
    <n v="971.21224200000006"/>
    <n v="13"/>
    <n v="325"/>
    <x v="0"/>
    <n v="2"/>
    <s v="Good"/>
    <n v="1"/>
    <n v="3679.39"/>
    <s v="Middle Income"/>
    <s v="Employed"/>
    <s v="Without Loan"/>
    <s v="Low-Risk"/>
  </r>
  <r>
    <s v="T000423"/>
    <s v="C6726"/>
    <s v="AC18989138"/>
    <x v="305"/>
    <x v="26"/>
    <x v="8"/>
    <x v="2"/>
    <n v="989.14"/>
    <x v="1"/>
    <n v="11156.38"/>
    <s v="Medium"/>
    <x v="4"/>
    <n v="30"/>
    <x v="0"/>
    <s v="Female"/>
    <s v="Checking"/>
    <x v="331"/>
    <s v="USD"/>
    <x v="1"/>
    <n v="4.6600000000000003E-2"/>
    <n v="4.66"/>
    <s v="high"/>
    <n v="26681.654999999999"/>
    <n v="1243.365123"/>
    <n v="13"/>
    <n v="694"/>
    <x v="3"/>
    <n v="0"/>
    <s v="Good"/>
    <n v="3"/>
    <n v="13146.39"/>
    <s v="High Income"/>
    <s v="Self-employed"/>
    <s v="Without Loan"/>
    <s v="Low-Risk"/>
  </r>
  <r>
    <s v="T000424"/>
    <s v="C4373"/>
    <s v="AC57364509"/>
    <x v="306"/>
    <x v="28"/>
    <x v="10"/>
    <x v="3"/>
    <n v="122.94"/>
    <x v="0"/>
    <n v="31898.47"/>
    <s v="Medium"/>
    <x v="3"/>
    <n v="56"/>
    <x v="2"/>
    <s v="Male"/>
    <s v="Checking"/>
    <x v="332"/>
    <s v="EUR"/>
    <x v="1"/>
    <n v="1.3599999999999999E-2"/>
    <n v="1.36"/>
    <s v="low"/>
    <n v="26681.654999999999"/>
    <n v="362.87050799999997"/>
    <n v="13"/>
    <n v="680"/>
    <x v="3"/>
    <n v="0"/>
    <s v="Good"/>
    <n v="3"/>
    <n v="9257.59"/>
    <s v="High Income"/>
    <s v="Employed"/>
    <s v="Without Loan"/>
    <s v="Low-Risk"/>
  </r>
  <r>
    <s v="T000425"/>
    <s v="C9945"/>
    <s v="AC89146438"/>
    <x v="116"/>
    <x v="11"/>
    <x v="6"/>
    <x v="0"/>
    <n v="537.20000000000005"/>
    <x v="1"/>
    <n v="11765.63"/>
    <s v="Medium"/>
    <x v="4"/>
    <n v="59"/>
    <x v="2"/>
    <s v="Male"/>
    <s v="Credit"/>
    <x v="62"/>
    <s v="GBP"/>
    <x v="0"/>
    <n v="4.0800000000000003E-2"/>
    <n v="4.08"/>
    <s v="high"/>
    <n v="19503.39"/>
    <n v="795.73831200000006"/>
    <n v="26"/>
    <n v="822"/>
    <x v="1"/>
    <n v="1"/>
    <s v="Default"/>
    <n v="5"/>
    <n v="13197.72"/>
    <s v="High Income"/>
    <s v="Unemployed"/>
    <s v="With Loan"/>
    <s v="Low-Risk"/>
  </r>
  <r>
    <s v="T000426"/>
    <s v="C3082"/>
    <s v="AC53020873"/>
    <x v="307"/>
    <x v="2"/>
    <x v="11"/>
    <x v="1"/>
    <n v="3483.65"/>
    <x v="1"/>
    <n v="2005.52"/>
    <s v="Low"/>
    <x v="0"/>
    <n v="62"/>
    <x v="3"/>
    <s v="Female"/>
    <s v="Savings"/>
    <x v="333"/>
    <s v="EUR"/>
    <x v="2"/>
    <n v="3.4700000000000002E-2"/>
    <n v="3.47"/>
    <s v="low"/>
    <n v="26681.654999999999"/>
    <n v="925.85342849999995"/>
    <n v="13"/>
    <n v="838"/>
    <x v="1"/>
    <n v="2"/>
    <s v="Good"/>
    <n v="5"/>
    <n v="12804.75"/>
    <s v="High Income"/>
    <s v="Unemployed"/>
    <s v="Without Loan"/>
    <s v="Low-Risk"/>
  </r>
  <r>
    <s v="T000427"/>
    <s v="C9967"/>
    <s v="AC83663899"/>
    <x v="308"/>
    <x v="24"/>
    <x v="1"/>
    <x v="0"/>
    <n v="6365.77"/>
    <x v="0"/>
    <n v="41504.300000000003"/>
    <s v="Medium"/>
    <x v="4"/>
    <n v="65"/>
    <x v="3"/>
    <s v="Female"/>
    <s v="Savings"/>
    <x v="334"/>
    <s v="EUR"/>
    <x v="0"/>
    <n v="3.39E-2"/>
    <n v="3.39"/>
    <s v="low"/>
    <n v="43757.88"/>
    <n v="1483.3921319999999"/>
    <n v="13"/>
    <n v="382"/>
    <x v="0"/>
    <n v="1"/>
    <s v="Default"/>
    <n v="1"/>
    <n v="5666.55"/>
    <s v="High Income"/>
    <s v="Unemployed"/>
    <s v="With Loan"/>
    <s v="High-Risk"/>
  </r>
  <r>
    <s v="T000428"/>
    <s v="C7748"/>
    <s v="AC42735803"/>
    <x v="309"/>
    <x v="10"/>
    <x v="8"/>
    <x v="1"/>
    <n v="783.39"/>
    <x v="1"/>
    <n v="18914.189999999999"/>
    <s v="Medium"/>
    <x v="0"/>
    <n v="31"/>
    <x v="0"/>
    <s v="Male"/>
    <s v="Savings"/>
    <x v="114"/>
    <s v="USD"/>
    <x v="0"/>
    <n v="2.1700000000000001E-2"/>
    <n v="2.17"/>
    <s v="low"/>
    <n v="26681.654999999999"/>
    <n v="578.99191350000001"/>
    <n v="13"/>
    <n v="849"/>
    <x v="1"/>
    <n v="1"/>
    <s v="Default"/>
    <n v="5"/>
    <n v="9120.59"/>
    <s v="High Income"/>
    <s v="Employed"/>
    <s v="Without Loan"/>
    <s v="Low-Risk"/>
  </r>
  <r>
    <s v="T000429"/>
    <s v="C1417"/>
    <s v="AC25886372"/>
    <x v="135"/>
    <x v="8"/>
    <x v="1"/>
    <x v="3"/>
    <n v="156.09"/>
    <x v="1"/>
    <n v="18331.14"/>
    <s v="Medium"/>
    <x v="1"/>
    <n v="28"/>
    <x v="0"/>
    <s v="Male"/>
    <s v="Savings"/>
    <x v="335"/>
    <s v="EUR"/>
    <x v="1"/>
    <n v="3.7400000000000003E-2"/>
    <n v="3.74"/>
    <s v="low"/>
    <n v="47356.62"/>
    <n v="1771.1375880000003"/>
    <n v="7"/>
    <n v="744"/>
    <x v="4"/>
    <n v="0"/>
    <s v="Good"/>
    <n v="4"/>
    <n v="3081.83"/>
    <s v="Middle Income"/>
    <s v="Unemployed"/>
    <s v="With Loan"/>
    <s v="Low-Risk"/>
  </r>
  <r>
    <s v="T000430"/>
    <s v="C9306"/>
    <s v="AC47622748"/>
    <x v="30"/>
    <x v="10"/>
    <x v="2"/>
    <x v="3"/>
    <n v="9377.2000000000007"/>
    <x v="1"/>
    <n v="15821.47"/>
    <s v="Medium"/>
    <x v="3"/>
    <n v="59"/>
    <x v="2"/>
    <s v="Male"/>
    <s v="Credit"/>
    <x v="336"/>
    <s v="USD"/>
    <x v="2"/>
    <n v="4.1799999999999997E-2"/>
    <n v="4.18"/>
    <s v="high"/>
    <n v="31960.34"/>
    <n v="1335.9422119999999"/>
    <n v="13"/>
    <n v="386"/>
    <x v="0"/>
    <n v="2"/>
    <s v="Good"/>
    <n v="1"/>
    <n v="13898.27"/>
    <s v="High Income"/>
    <s v="Self-employed"/>
    <s v="With Loan"/>
    <s v="Low-Risk"/>
  </r>
  <r>
    <s v="T000431"/>
    <s v="C9808"/>
    <s v="AC42456981"/>
    <x v="310"/>
    <x v="4"/>
    <x v="7"/>
    <x v="3"/>
    <n v="8237.07"/>
    <x v="0"/>
    <n v="48793.29"/>
    <s v="Medium"/>
    <x v="1"/>
    <n v="55"/>
    <x v="2"/>
    <s v="Male"/>
    <s v="Checking"/>
    <x v="337"/>
    <s v="EUR"/>
    <x v="1"/>
    <n v="1.4500000000000001E-2"/>
    <n v="1.45"/>
    <s v="low"/>
    <n v="49645.69"/>
    <n v="719.86250500000006"/>
    <n v="7"/>
    <n v="686"/>
    <x v="3"/>
    <n v="0"/>
    <s v="Good"/>
    <n v="3"/>
    <n v="7255.42"/>
    <s v="High Income"/>
    <s v="Employed"/>
    <s v="With Loan"/>
    <s v="Low-Risk"/>
  </r>
  <r>
    <s v="T000432"/>
    <s v="C4974"/>
    <s v="AC85176851"/>
    <x v="311"/>
    <x v="10"/>
    <x v="7"/>
    <x v="1"/>
    <n v="8110.91"/>
    <x v="1"/>
    <n v="9335.66"/>
    <s v="Low"/>
    <x v="2"/>
    <n v="21"/>
    <x v="4"/>
    <s v="Male"/>
    <s v="Checking"/>
    <x v="338"/>
    <s v="USD"/>
    <x v="1"/>
    <n v="3.1300000000000001E-2"/>
    <n v="3.13"/>
    <s v="low"/>
    <n v="26681.654999999999"/>
    <n v="835.13580149999996"/>
    <n v="13"/>
    <n v="697"/>
    <x v="3"/>
    <n v="0"/>
    <s v="Good"/>
    <n v="3"/>
    <n v="7117.79"/>
    <s v="High Income"/>
    <s v="Unemployed"/>
    <s v="Without Loan"/>
    <s v="Low-Risk"/>
  </r>
  <r>
    <s v="T000433"/>
    <s v="C4267"/>
    <s v="AC11656671"/>
    <x v="312"/>
    <x v="7"/>
    <x v="3"/>
    <x v="2"/>
    <n v="8855.7999999999993"/>
    <x v="0"/>
    <n v="45013.67"/>
    <s v="Medium"/>
    <x v="4"/>
    <n v="50"/>
    <x v="2"/>
    <s v="Female"/>
    <s v="Savings"/>
    <x v="339"/>
    <s v="USD"/>
    <x v="2"/>
    <n v="1.41E-2"/>
    <n v="1.41"/>
    <s v="low"/>
    <n v="10695.3"/>
    <n v="150.80372999999997"/>
    <n v="13"/>
    <n v="585"/>
    <x v="2"/>
    <n v="2"/>
    <s v="Good"/>
    <n v="2"/>
    <n v="5935.82"/>
    <s v="High Income"/>
    <s v="Unemployed"/>
    <s v="With Loan"/>
    <s v="Low-Risk"/>
  </r>
  <r>
    <s v="T000434"/>
    <s v="C1825"/>
    <s v="AC99567715"/>
    <x v="63"/>
    <x v="27"/>
    <x v="6"/>
    <x v="1"/>
    <n v="7030.34"/>
    <x v="0"/>
    <n v="39063.360000000001"/>
    <s v="Medium"/>
    <x v="2"/>
    <n v="24"/>
    <x v="4"/>
    <s v="Female"/>
    <s v="Savings"/>
    <x v="269"/>
    <s v="EUR"/>
    <x v="1"/>
    <n v="4.4900000000000002E-2"/>
    <n v="4.49"/>
    <s v="high"/>
    <n v="26681.654999999999"/>
    <n v="1198.0063095"/>
    <n v="18"/>
    <n v="668"/>
    <x v="2"/>
    <n v="0"/>
    <s v="Good"/>
    <n v="2"/>
    <n v="7988.63"/>
    <s v="High Income"/>
    <s v="Employed"/>
    <s v="Without Loan"/>
    <s v="Low-Risk"/>
  </r>
  <r>
    <s v="T000435"/>
    <s v="C8668"/>
    <s v="AC32922481"/>
    <x v="313"/>
    <x v="26"/>
    <x v="4"/>
    <x v="2"/>
    <n v="1133.5999999999999"/>
    <x v="1"/>
    <n v="4747.5200000000004"/>
    <s v="Low"/>
    <x v="4"/>
    <n v="58"/>
    <x v="2"/>
    <s v="Female"/>
    <s v="Savings"/>
    <x v="340"/>
    <s v="EUR"/>
    <x v="2"/>
    <n v="3.0300000000000001E-2"/>
    <n v="3.03"/>
    <s v="low"/>
    <n v="26681.654999999999"/>
    <n v="808.45414649999998"/>
    <n v="13"/>
    <n v="721"/>
    <x v="3"/>
    <n v="2"/>
    <s v="Good"/>
    <n v="3"/>
    <n v="5272.87"/>
    <s v="High Income"/>
    <s v="Employed"/>
    <s v="Without Loan"/>
    <s v="Low-Risk"/>
  </r>
  <r>
    <s v="T000436"/>
    <s v="C6745"/>
    <s v="AC52081603"/>
    <x v="155"/>
    <x v="17"/>
    <x v="10"/>
    <x v="1"/>
    <n v="4051.09"/>
    <x v="0"/>
    <n v="49349.73"/>
    <s v="Medium"/>
    <x v="1"/>
    <n v="25"/>
    <x v="4"/>
    <s v="Female"/>
    <s v="Credit"/>
    <x v="341"/>
    <s v="GBP"/>
    <x v="2"/>
    <n v="4.2299999999999997E-2"/>
    <n v="4.2300000000000004"/>
    <s v="high"/>
    <n v="25045.64"/>
    <n v="1059.430572"/>
    <n v="18"/>
    <n v="742"/>
    <x v="4"/>
    <n v="2"/>
    <s v="Good"/>
    <n v="4"/>
    <n v="6873.08"/>
    <s v="High Income"/>
    <s v="Self-employed"/>
    <s v="With Loan"/>
    <s v="Low-Risk"/>
  </r>
  <r>
    <s v="T000437"/>
    <s v="C1412"/>
    <s v="AC94669146"/>
    <x v="314"/>
    <x v="15"/>
    <x v="3"/>
    <x v="1"/>
    <n v="7259.18"/>
    <x v="1"/>
    <n v="14296.93"/>
    <s v="Medium"/>
    <x v="0"/>
    <n v="54"/>
    <x v="2"/>
    <s v="Male"/>
    <s v="Credit"/>
    <x v="181"/>
    <s v="GBP"/>
    <x v="1"/>
    <n v="2.47E-2"/>
    <n v="2.4700000000000002"/>
    <s v="low"/>
    <n v="37133.199999999997"/>
    <n v="917.19003999999995"/>
    <n v="14"/>
    <n v="819"/>
    <x v="1"/>
    <n v="0"/>
    <s v="Good"/>
    <n v="5"/>
    <n v="12399.31"/>
    <s v="High Income"/>
    <s v="Employed"/>
    <s v="With Loan"/>
    <s v="Low-Risk"/>
  </r>
  <r>
    <s v="T000438"/>
    <s v="C8543"/>
    <s v="AC53497663"/>
    <x v="145"/>
    <x v="14"/>
    <x v="6"/>
    <x v="3"/>
    <n v="2875.31"/>
    <x v="1"/>
    <n v="5830.56"/>
    <s v="Low"/>
    <x v="0"/>
    <n v="68"/>
    <x v="3"/>
    <s v="Male"/>
    <s v="Checking"/>
    <x v="342"/>
    <s v="GBP"/>
    <x v="1"/>
    <n v="1.4999999999999999E-2"/>
    <n v="1.4999999999999999E-2"/>
    <s v="low"/>
    <n v="26681.654999999999"/>
    <n v="400.22482499999995"/>
    <n v="13"/>
    <n v="587"/>
    <x v="2"/>
    <n v="0"/>
    <s v="Good"/>
    <n v="2"/>
    <n v="12845.32"/>
    <s v="High Income"/>
    <s v="Unemployed"/>
    <s v="Without Loan"/>
    <s v="Low-Risk"/>
  </r>
  <r>
    <s v="T000439"/>
    <s v="C8587"/>
    <s v="AC98785936"/>
    <x v="315"/>
    <x v="3"/>
    <x v="10"/>
    <x v="0"/>
    <n v="6905.32"/>
    <x v="0"/>
    <n v="41636.400000000001"/>
    <s v="Medium"/>
    <x v="4"/>
    <n v="27"/>
    <x v="0"/>
    <s v="Female"/>
    <s v="Savings"/>
    <x v="343"/>
    <s v="EUR"/>
    <x v="0"/>
    <n v="1.17E-2"/>
    <n v="1.17"/>
    <s v="low"/>
    <n v="26681.654999999999"/>
    <n v="312.1753635"/>
    <n v="13"/>
    <n v="394"/>
    <x v="0"/>
    <n v="1"/>
    <s v="Default"/>
    <n v="1"/>
    <n v="5954.37"/>
    <s v="High Income"/>
    <s v="Self-employed"/>
    <s v="Without Loan"/>
    <s v="Low-Risk"/>
  </r>
  <r>
    <s v="T000440"/>
    <s v="C1728"/>
    <s v="AC30833173"/>
    <x v="316"/>
    <x v="1"/>
    <x v="0"/>
    <x v="0"/>
    <n v="342.53"/>
    <x v="0"/>
    <n v="35627.1"/>
    <s v="Medium"/>
    <x v="0"/>
    <n v="60"/>
    <x v="2"/>
    <s v="Male"/>
    <s v="Savings"/>
    <x v="286"/>
    <s v="EUR"/>
    <x v="1"/>
    <n v="2.1299999999999999E-2"/>
    <n v="2.13"/>
    <s v="low"/>
    <n v="26681.654999999999"/>
    <n v="568.31925149999995"/>
    <n v="26"/>
    <n v="340"/>
    <x v="0"/>
    <n v="0"/>
    <s v="Good"/>
    <n v="1"/>
    <n v="8097.19"/>
    <s v="High Income"/>
    <s v="Unemployed"/>
    <s v="Without Loan"/>
    <s v="Low-Risk"/>
  </r>
  <r>
    <s v="T000441"/>
    <s v="C8164"/>
    <s v="AC94483977"/>
    <x v="317"/>
    <x v="25"/>
    <x v="8"/>
    <x v="2"/>
    <n v="3130.76"/>
    <x v="0"/>
    <n v="31243.72"/>
    <s v="Medium"/>
    <x v="1"/>
    <n v="32"/>
    <x v="0"/>
    <s v="Female"/>
    <s v="Savings"/>
    <x v="68"/>
    <s v="USD"/>
    <x v="2"/>
    <n v="1.9800000000000002E-2"/>
    <n v="1.98"/>
    <s v="low"/>
    <n v="26681.654999999999"/>
    <n v="528.29676900000004"/>
    <n v="7"/>
    <n v="630"/>
    <x v="2"/>
    <n v="2"/>
    <s v="Good"/>
    <n v="2"/>
    <n v="13359.66"/>
    <s v="High Income"/>
    <s v="Unemployed"/>
    <s v="Without Loan"/>
    <s v="Low-Risk"/>
  </r>
  <r>
    <s v="T000442"/>
    <s v="C9867"/>
    <s v="AC30718453"/>
    <x v="66"/>
    <x v="22"/>
    <x v="2"/>
    <x v="0"/>
    <n v="5536.39"/>
    <x v="1"/>
    <n v="8643.06"/>
    <s v="Low"/>
    <x v="0"/>
    <n v="55"/>
    <x v="2"/>
    <s v="Male"/>
    <s v="Savings"/>
    <x v="344"/>
    <s v="GBP"/>
    <x v="0"/>
    <n v="3.2399999999999998E-2"/>
    <n v="3.24"/>
    <s v="low"/>
    <n v="26681.654999999999"/>
    <n v="864.48562199999992"/>
    <n v="13"/>
    <n v="454"/>
    <x v="0"/>
    <n v="1"/>
    <s v="Default"/>
    <n v="1"/>
    <n v="2684.75"/>
    <s v="Low Income"/>
    <s v="Unemployed"/>
    <s v="Without Loan"/>
    <s v="Low-Risk"/>
  </r>
  <r>
    <s v="T000443"/>
    <s v="C6988"/>
    <s v="AC19161408"/>
    <x v="318"/>
    <x v="12"/>
    <x v="1"/>
    <x v="1"/>
    <n v="6357.69"/>
    <x v="0"/>
    <n v="24446.31"/>
    <s v="Medium"/>
    <x v="1"/>
    <n v="32"/>
    <x v="0"/>
    <s v="Male"/>
    <s v="Credit"/>
    <x v="345"/>
    <s v="USD"/>
    <x v="2"/>
    <n v="1.09E-2"/>
    <n v="1.0900000000000001"/>
    <s v="low"/>
    <n v="26681.654999999999"/>
    <n v="290.8300395"/>
    <n v="13"/>
    <n v="803"/>
    <x v="1"/>
    <n v="2"/>
    <s v="Good"/>
    <n v="5"/>
    <n v="13558.88"/>
    <s v="High Income"/>
    <s v="Employed"/>
    <s v="Without Loan"/>
    <s v="Low-Risk"/>
  </r>
  <r>
    <s v="T000444"/>
    <s v="C3504"/>
    <s v="AC62374647"/>
    <x v="276"/>
    <x v="5"/>
    <x v="4"/>
    <x v="1"/>
    <n v="5812.7"/>
    <x v="0"/>
    <n v="39247.25"/>
    <s v="Medium"/>
    <x v="2"/>
    <n v="22"/>
    <x v="4"/>
    <s v="Male"/>
    <s v="Checking"/>
    <x v="346"/>
    <s v="USD"/>
    <x v="0"/>
    <n v="3.0800000000000001E-2"/>
    <n v="3.08"/>
    <s v="low"/>
    <n v="40806.800000000003"/>
    <n v="1256.8494400000002"/>
    <n v="13"/>
    <n v="574"/>
    <x v="0"/>
    <n v="1"/>
    <s v="Default"/>
    <n v="1"/>
    <n v="4849.3999999999996"/>
    <s v="Middle Income"/>
    <s v="Employed"/>
    <s v="With Loan"/>
    <s v="High-Risk"/>
  </r>
  <r>
    <s v="T000445"/>
    <s v="C3967"/>
    <s v="AC72242810"/>
    <x v="282"/>
    <x v="14"/>
    <x v="7"/>
    <x v="3"/>
    <n v="7007.79"/>
    <x v="1"/>
    <n v="15877.57"/>
    <s v="Medium"/>
    <x v="1"/>
    <n v="46"/>
    <x v="2"/>
    <s v="Female"/>
    <s v="Checking"/>
    <x v="347"/>
    <s v="USD"/>
    <x v="1"/>
    <n v="2.5700000000000001E-2"/>
    <n v="2.57"/>
    <s v="low"/>
    <n v="26681.654999999999"/>
    <n v="685.71853350000004"/>
    <n v="14"/>
    <n v="478"/>
    <x v="0"/>
    <n v="0"/>
    <s v="Good"/>
    <n v="1"/>
    <n v="10821.01"/>
    <s v="High Income"/>
    <s v="Unemployed"/>
    <s v="Without Loan"/>
    <s v="Low-Risk"/>
  </r>
  <r>
    <s v="T000446"/>
    <s v="C3786"/>
    <s v="AC47214417"/>
    <x v="319"/>
    <x v="25"/>
    <x v="0"/>
    <x v="3"/>
    <n v="160.28"/>
    <x v="1"/>
    <n v="16272.8"/>
    <s v="Medium"/>
    <x v="3"/>
    <n v="36"/>
    <x v="1"/>
    <s v="Female"/>
    <s v="Credit"/>
    <x v="26"/>
    <s v="USD"/>
    <x v="1"/>
    <n v="3.3099999999999997E-2"/>
    <n v="3.31"/>
    <s v="low"/>
    <n v="26681.654999999999"/>
    <n v="883.16278049999994"/>
    <n v="13"/>
    <n v="436"/>
    <x v="0"/>
    <n v="0"/>
    <s v="Good"/>
    <n v="1"/>
    <n v="9573.17"/>
    <s v="High Income"/>
    <s v="Employed"/>
    <s v="Without Loan"/>
    <s v="Low-Risk"/>
  </r>
  <r>
    <s v="T000447"/>
    <s v="C2122"/>
    <s v="AC30353727"/>
    <x v="320"/>
    <x v="25"/>
    <x v="4"/>
    <x v="0"/>
    <n v="1099.32"/>
    <x v="1"/>
    <n v="1153.9000000000001"/>
    <s v="Low"/>
    <x v="3"/>
    <n v="68"/>
    <x v="3"/>
    <s v="Female"/>
    <s v="Savings"/>
    <x v="348"/>
    <s v="GBP"/>
    <x v="1"/>
    <n v="3.8100000000000002E-2"/>
    <n v="3.81"/>
    <s v="low"/>
    <n v="48180.77"/>
    <n v="1835.6873370000001"/>
    <n v="13"/>
    <n v="479"/>
    <x v="0"/>
    <n v="0"/>
    <s v="Good"/>
    <n v="1"/>
    <n v="9188.23"/>
    <s v="High Income"/>
    <s v="Unemployed"/>
    <s v="With Loan"/>
    <s v="High-Risk"/>
  </r>
  <r>
    <s v="T000448"/>
    <s v="C5079"/>
    <s v="AC95050030"/>
    <x v="321"/>
    <x v="3"/>
    <x v="9"/>
    <x v="2"/>
    <n v="8702.5499999999993"/>
    <x v="1"/>
    <n v="9537.93"/>
    <s v="Low"/>
    <x v="3"/>
    <n v="27"/>
    <x v="0"/>
    <s v="Female"/>
    <s v="Checking"/>
    <x v="349"/>
    <s v="USD"/>
    <x v="2"/>
    <n v="3.5400000000000001E-2"/>
    <n v="3.54"/>
    <s v="low"/>
    <n v="31645.55"/>
    <n v="1120.2524699999999"/>
    <n v="13"/>
    <n v="481"/>
    <x v="0"/>
    <n v="2"/>
    <s v="Good"/>
    <n v="1"/>
    <n v="13171.68"/>
    <s v="High Income"/>
    <s v="Employed"/>
    <s v="With Loan"/>
    <s v="Low-Risk"/>
  </r>
  <r>
    <s v="T000449"/>
    <s v="C2571"/>
    <s v="AC10549148"/>
    <x v="322"/>
    <x v="7"/>
    <x v="10"/>
    <x v="0"/>
    <n v="6849.31"/>
    <x v="0"/>
    <n v="43894.879999999997"/>
    <s v="Medium"/>
    <x v="4"/>
    <n v="29"/>
    <x v="0"/>
    <s v="Male"/>
    <s v="Checking"/>
    <x v="350"/>
    <s v="EUR"/>
    <x v="0"/>
    <n v="4.9399999999999999E-2"/>
    <n v="4.9400000000000004"/>
    <s v="high"/>
    <n v="41878.31"/>
    <n v="2068.7885139999999"/>
    <n v="8"/>
    <n v="558"/>
    <x v="0"/>
    <n v="1"/>
    <s v="Default"/>
    <n v="1"/>
    <n v="3320.44"/>
    <s v="Middle Income"/>
    <s v="Employed"/>
    <s v="With Loan"/>
    <s v="High-Risk"/>
  </r>
  <r>
    <s v="T000450"/>
    <s v="C6073"/>
    <s v="AC46328139"/>
    <x v="55"/>
    <x v="18"/>
    <x v="4"/>
    <x v="0"/>
    <n v="1218.02"/>
    <x v="0"/>
    <n v="22645.58"/>
    <s v="Medium"/>
    <x v="4"/>
    <n v="21"/>
    <x v="4"/>
    <s v="Male"/>
    <s v="Credit"/>
    <x v="2"/>
    <s v="EUR"/>
    <x v="2"/>
    <n v="1.55E-2"/>
    <n v="1.55"/>
    <s v="low"/>
    <n v="26681.654999999999"/>
    <n v="413.5656525"/>
    <n v="8"/>
    <n v="542"/>
    <x v="0"/>
    <n v="2"/>
    <s v="Good"/>
    <n v="1"/>
    <n v="6511.36"/>
    <s v="High Income"/>
    <s v="Employed"/>
    <s v="Without Loan"/>
    <s v="Low-Risk"/>
  </r>
  <r>
    <s v="T000451"/>
    <s v="C6104"/>
    <s v="AC31845218"/>
    <x v="306"/>
    <x v="28"/>
    <x v="10"/>
    <x v="0"/>
    <n v="8436.5400000000009"/>
    <x v="0"/>
    <n v="49227.49"/>
    <s v="Medium"/>
    <x v="4"/>
    <n v="48"/>
    <x v="2"/>
    <s v="Male"/>
    <s v="Savings"/>
    <x v="351"/>
    <s v="EUR"/>
    <x v="0"/>
    <n v="2.7199999999999998E-2"/>
    <n v="2.72"/>
    <s v="low"/>
    <n v="7988.47"/>
    <n v="217.286384"/>
    <n v="13"/>
    <n v="395"/>
    <x v="0"/>
    <n v="1"/>
    <s v="Default"/>
    <n v="1"/>
    <n v="8997.2900000000009"/>
    <s v="High Income"/>
    <s v="Self-employed"/>
    <s v="With Loan"/>
    <s v="Low-Risk"/>
  </r>
  <r>
    <s v="T000452"/>
    <s v="C3143"/>
    <s v="AC12773939"/>
    <x v="323"/>
    <x v="11"/>
    <x v="11"/>
    <x v="0"/>
    <n v="2498.09"/>
    <x v="0"/>
    <n v="20389.689999999999"/>
    <s v="Medium"/>
    <x v="1"/>
    <n v="35"/>
    <x v="0"/>
    <s v="Male"/>
    <s v="Checking"/>
    <x v="352"/>
    <s v="GBP"/>
    <x v="1"/>
    <n v="2.7E-2"/>
    <n v="2.7E-2"/>
    <s v="low"/>
    <n v="12688.71"/>
    <n v="342.59517"/>
    <n v="17"/>
    <n v="496"/>
    <x v="0"/>
    <n v="0"/>
    <s v="Good"/>
    <n v="1"/>
    <n v="12546.76"/>
    <s v="High Income"/>
    <s v="Employed"/>
    <s v="With Loan"/>
    <s v="Low-Risk"/>
  </r>
  <r>
    <s v="T000453"/>
    <s v="C7806"/>
    <s v="AC45490172"/>
    <x v="324"/>
    <x v="7"/>
    <x v="9"/>
    <x v="1"/>
    <n v="4834.7700000000004"/>
    <x v="0"/>
    <n v="36044.14"/>
    <s v="Medium"/>
    <x v="4"/>
    <n v="33"/>
    <x v="0"/>
    <s v="Female"/>
    <s v="Savings"/>
    <x v="353"/>
    <s v="USD"/>
    <x v="2"/>
    <n v="2.6700000000000002E-2"/>
    <n v="2.67"/>
    <s v="low"/>
    <n v="26681.654999999999"/>
    <n v="712.40018850000001"/>
    <n v="6"/>
    <n v="825"/>
    <x v="1"/>
    <n v="2"/>
    <s v="Good"/>
    <n v="5"/>
    <n v="4813.76"/>
    <s v="Middle Income"/>
    <s v="Self-employed"/>
    <s v="Without Loan"/>
    <s v="Low-Risk"/>
  </r>
  <r>
    <s v="T000454"/>
    <s v="C8357"/>
    <s v="AC46989387"/>
    <x v="325"/>
    <x v="30"/>
    <x v="9"/>
    <x v="2"/>
    <n v="1537.45"/>
    <x v="1"/>
    <n v="14814.03"/>
    <s v="Medium"/>
    <x v="2"/>
    <n v="57"/>
    <x v="2"/>
    <s v="Male"/>
    <s v="Checking"/>
    <x v="45"/>
    <s v="GBP"/>
    <x v="1"/>
    <n v="3.6600000000000001E-2"/>
    <n v="3.66"/>
    <s v="low"/>
    <n v="26681.654999999999"/>
    <n v="976.54857299999992"/>
    <n v="15"/>
    <n v="686"/>
    <x v="3"/>
    <n v="0"/>
    <s v="Good"/>
    <n v="3"/>
    <n v="12438.09"/>
    <s v="High Income"/>
    <s v="Self-employed"/>
    <s v="Without Loan"/>
    <s v="Low-Risk"/>
  </r>
  <r>
    <s v="T000455"/>
    <s v="C4440"/>
    <s v="AC23426716"/>
    <x v="273"/>
    <x v="4"/>
    <x v="8"/>
    <x v="1"/>
    <n v="7130.09"/>
    <x v="1"/>
    <n v="18826.669999999998"/>
    <s v="Medium"/>
    <x v="3"/>
    <n v="53"/>
    <x v="2"/>
    <s v="Male"/>
    <s v="Credit"/>
    <x v="354"/>
    <s v="USD"/>
    <x v="2"/>
    <n v="2.9600000000000001E-2"/>
    <n v="2.96"/>
    <s v="low"/>
    <n v="26681.654999999999"/>
    <n v="789.77698799999996"/>
    <n v="15"/>
    <n v="707"/>
    <x v="3"/>
    <n v="2"/>
    <s v="Good"/>
    <n v="3"/>
    <n v="7195.3"/>
    <s v="High Income"/>
    <s v="Self-employed"/>
    <s v="Without Loan"/>
    <s v="Low-Risk"/>
  </r>
  <r>
    <s v="T000456"/>
    <s v="C4766"/>
    <s v="AC48710304"/>
    <x v="190"/>
    <x v="4"/>
    <x v="0"/>
    <x v="2"/>
    <n v="6701.86"/>
    <x v="1"/>
    <n v="10345.57"/>
    <s v="Medium"/>
    <x v="1"/>
    <n v="42"/>
    <x v="1"/>
    <s v="Male"/>
    <s v="Savings"/>
    <x v="193"/>
    <s v="GBP"/>
    <x v="1"/>
    <n v="3.0700000000000002E-2"/>
    <n v="3.07"/>
    <s v="low"/>
    <n v="26681.654999999999"/>
    <n v="819.12680850000004"/>
    <n v="25"/>
    <n v="568"/>
    <x v="0"/>
    <n v="0"/>
    <s v="Good"/>
    <n v="1"/>
    <n v="4455.88"/>
    <s v="Middle Income"/>
    <s v="Unemployed"/>
    <s v="Without Loan"/>
    <s v="Low-Risk"/>
  </r>
  <r>
    <s v="T000457"/>
    <s v="C6644"/>
    <s v="AC57718021"/>
    <x v="70"/>
    <x v="20"/>
    <x v="7"/>
    <x v="3"/>
    <n v="2190.0100000000002"/>
    <x v="1"/>
    <n v="18006.060000000001"/>
    <s v="Medium"/>
    <x v="3"/>
    <n v="40"/>
    <x v="1"/>
    <s v="Female"/>
    <s v="Credit"/>
    <x v="123"/>
    <s v="GBP"/>
    <x v="2"/>
    <n v="2.7300000000000001E-2"/>
    <n v="2.73"/>
    <s v="low"/>
    <n v="27256.54"/>
    <n v="744.10354200000006"/>
    <n v="13"/>
    <n v="470"/>
    <x v="0"/>
    <n v="2"/>
    <s v="Good"/>
    <n v="1"/>
    <n v="11866.82"/>
    <s v="High Income"/>
    <s v="Employed"/>
    <s v="With Loan"/>
    <s v="Low-Risk"/>
  </r>
  <r>
    <s v="T000458"/>
    <s v="C3914"/>
    <s v="AC95440590"/>
    <x v="8"/>
    <x v="0"/>
    <x v="0"/>
    <x v="0"/>
    <n v="8647.67"/>
    <x v="0"/>
    <n v="27814.639999999999"/>
    <s v="Medium"/>
    <x v="4"/>
    <n v="29"/>
    <x v="0"/>
    <s v="Female"/>
    <s v="Checking"/>
    <x v="355"/>
    <s v="USD"/>
    <x v="2"/>
    <n v="4.9700000000000001E-2"/>
    <n v="4.97"/>
    <s v="high"/>
    <n v="26681.654999999999"/>
    <n v="1326.0782535000001"/>
    <n v="13"/>
    <n v="469"/>
    <x v="0"/>
    <n v="2"/>
    <s v="Good"/>
    <n v="1"/>
    <n v="3181.69"/>
    <s v="Middle Income"/>
    <s v="Unemployed"/>
    <s v="Without Loan"/>
    <s v="Low-Risk"/>
  </r>
  <r>
    <s v="T000459"/>
    <s v="C5968"/>
    <s v="AC36996639"/>
    <x v="312"/>
    <x v="7"/>
    <x v="3"/>
    <x v="1"/>
    <n v="4072.93"/>
    <x v="0"/>
    <n v="49596.87"/>
    <s v="Medium"/>
    <x v="1"/>
    <n v="51"/>
    <x v="2"/>
    <s v="Female"/>
    <s v="Credit"/>
    <x v="356"/>
    <s v="GBP"/>
    <x v="0"/>
    <n v="4.7100000000000003E-2"/>
    <n v="4.71"/>
    <s v="high"/>
    <n v="22189.26"/>
    <n v="1045.1141459999999"/>
    <n v="19"/>
    <n v="458"/>
    <x v="0"/>
    <n v="1"/>
    <s v="Default"/>
    <n v="1"/>
    <n v="8691.98"/>
    <s v="High Income"/>
    <s v="Self-employed"/>
    <s v="With Loan"/>
    <s v="Low-Risk"/>
  </r>
  <r>
    <s v="T000460"/>
    <s v="C6917"/>
    <s v="AC97649202"/>
    <x v="326"/>
    <x v="29"/>
    <x v="2"/>
    <x v="2"/>
    <n v="2995.9"/>
    <x v="0"/>
    <n v="33545.879999999997"/>
    <s v="Medium"/>
    <x v="0"/>
    <n v="53"/>
    <x v="2"/>
    <s v="Male"/>
    <s v="Credit"/>
    <x v="357"/>
    <s v="USD"/>
    <x v="1"/>
    <n v="2.23E-2"/>
    <n v="2.23"/>
    <s v="low"/>
    <n v="26681.654999999999"/>
    <n v="595.00090649999993"/>
    <n v="13"/>
    <n v="808"/>
    <x v="1"/>
    <n v="0"/>
    <s v="Good"/>
    <n v="5"/>
    <n v="2830.39"/>
    <s v="Low Income"/>
    <s v="Employed"/>
    <s v="Without Loan"/>
    <s v="Low-Risk"/>
  </r>
  <r>
    <s v="T000461"/>
    <s v="C9787"/>
    <s v="AC20774986"/>
    <x v="327"/>
    <x v="16"/>
    <x v="2"/>
    <x v="3"/>
    <n v="1608.06"/>
    <x v="1"/>
    <n v="10763.05"/>
    <s v="Medium"/>
    <x v="2"/>
    <n v="54"/>
    <x v="2"/>
    <s v="Female"/>
    <s v="Credit"/>
    <x v="358"/>
    <s v="EUR"/>
    <x v="0"/>
    <n v="1.4500000000000001E-2"/>
    <n v="1.45"/>
    <s v="low"/>
    <n v="26059.34"/>
    <n v="377.86043000000001"/>
    <n v="15"/>
    <n v="746"/>
    <x v="4"/>
    <n v="1"/>
    <s v="Default"/>
    <n v="4"/>
    <n v="6633.43"/>
    <s v="High Income"/>
    <s v="Unemployed"/>
    <s v="With Loan"/>
    <s v="Low-Risk"/>
  </r>
  <r>
    <s v="T000462"/>
    <s v="C1728"/>
    <s v="AC14421590"/>
    <x v="328"/>
    <x v="18"/>
    <x v="0"/>
    <x v="3"/>
    <n v="2735.06"/>
    <x v="1"/>
    <n v="3203.11"/>
    <s v="Low"/>
    <x v="4"/>
    <n v="20"/>
    <x v="4"/>
    <s v="Male"/>
    <s v="Checking"/>
    <x v="359"/>
    <s v="EUR"/>
    <x v="0"/>
    <n v="4.36E-2"/>
    <n v="4.3600000000000003"/>
    <s v="high"/>
    <n v="26681.654999999999"/>
    <n v="1163.320158"/>
    <n v="3"/>
    <n v="381"/>
    <x v="0"/>
    <n v="1"/>
    <s v="Default"/>
    <n v="1"/>
    <n v="9814"/>
    <s v="High Income"/>
    <s v="Self-employed"/>
    <s v="Without Loan"/>
    <s v="Low-Risk"/>
  </r>
  <r>
    <s v="T000463"/>
    <s v="C2365"/>
    <s v="AC46089369"/>
    <x v="90"/>
    <x v="15"/>
    <x v="5"/>
    <x v="0"/>
    <n v="318.07"/>
    <x v="1"/>
    <n v="7191.47"/>
    <s v="Low"/>
    <x v="4"/>
    <n v="26"/>
    <x v="0"/>
    <s v="Male"/>
    <s v="Savings"/>
    <x v="360"/>
    <s v="EUR"/>
    <x v="1"/>
    <n v="4.99E-2"/>
    <n v="4.99"/>
    <s v="high"/>
    <n v="26681.654999999999"/>
    <n v="1331.4145845"/>
    <n v="13"/>
    <n v="356"/>
    <x v="0"/>
    <n v="0"/>
    <s v="Good"/>
    <n v="1"/>
    <n v="9229.5"/>
    <s v="High Income"/>
    <s v="Unemployed"/>
    <s v="Without Loan"/>
    <s v="Low-Risk"/>
  </r>
  <r>
    <s v="T000464"/>
    <s v="C5492"/>
    <s v="AC21546081"/>
    <x v="329"/>
    <x v="4"/>
    <x v="10"/>
    <x v="2"/>
    <n v="5874.25"/>
    <x v="0"/>
    <n v="28565.200000000001"/>
    <s v="Medium"/>
    <x v="2"/>
    <n v="35"/>
    <x v="0"/>
    <s v="Male"/>
    <s v="Credit"/>
    <x v="327"/>
    <s v="GBP"/>
    <x v="2"/>
    <n v="2.1700000000000001E-2"/>
    <n v="2.17"/>
    <s v="low"/>
    <n v="26681.654999999999"/>
    <n v="578.99191350000001"/>
    <n v="25"/>
    <n v="818"/>
    <x v="1"/>
    <n v="2"/>
    <s v="Good"/>
    <n v="5"/>
    <n v="7260.52"/>
    <s v="High Income"/>
    <s v="Unemployed"/>
    <s v="Without Loan"/>
    <s v="Low-Risk"/>
  </r>
  <r>
    <s v="T000465"/>
    <s v="C1698"/>
    <s v="AC39221379"/>
    <x v="186"/>
    <x v="30"/>
    <x v="0"/>
    <x v="1"/>
    <n v="8438.08"/>
    <x v="0"/>
    <n v="38492.86"/>
    <s v="Medium"/>
    <x v="2"/>
    <n v="60"/>
    <x v="2"/>
    <s v="Female"/>
    <s v="Savings"/>
    <x v="361"/>
    <s v="EUR"/>
    <x v="0"/>
    <n v="2.4299999999999999E-2"/>
    <n v="2.4300000000000002"/>
    <s v="low"/>
    <n v="22018.76"/>
    <n v="535.05586799999992"/>
    <n v="8"/>
    <n v="411"/>
    <x v="0"/>
    <n v="1"/>
    <s v="Default"/>
    <n v="1"/>
    <n v="7577.62"/>
    <s v="High Income"/>
    <s v="Employed"/>
    <s v="With Loan"/>
    <s v="Low-Risk"/>
  </r>
  <r>
    <s v="T000466"/>
    <s v="C8186"/>
    <s v="AC95604304"/>
    <x v="231"/>
    <x v="0"/>
    <x v="6"/>
    <x v="0"/>
    <n v="5534.91"/>
    <x v="0"/>
    <n v="47080.54"/>
    <s v="Medium"/>
    <x v="0"/>
    <n v="52"/>
    <x v="2"/>
    <s v="Female"/>
    <s v="Checking"/>
    <x v="362"/>
    <s v="USD"/>
    <x v="1"/>
    <n v="4.7699999999999999E-2"/>
    <n v="4.7699999999999996"/>
    <s v="high"/>
    <n v="36951.32"/>
    <n v="1762.5779640000001"/>
    <n v="16"/>
    <n v="347"/>
    <x v="0"/>
    <n v="0"/>
    <s v="Good"/>
    <n v="1"/>
    <n v="4948"/>
    <s v="Middle Income"/>
    <s v="Employed"/>
    <s v="With Loan"/>
    <s v="High-Risk"/>
  </r>
  <r>
    <s v="T000467"/>
    <s v="C1395"/>
    <s v="AC46265058"/>
    <x v="330"/>
    <x v="22"/>
    <x v="8"/>
    <x v="1"/>
    <n v="2270.81"/>
    <x v="1"/>
    <n v="1775.34"/>
    <s v="Low"/>
    <x v="4"/>
    <n v="51"/>
    <x v="2"/>
    <s v="Male"/>
    <s v="Savings"/>
    <x v="363"/>
    <s v="EUR"/>
    <x v="2"/>
    <n v="3.8399999999999997E-2"/>
    <n v="3.84"/>
    <s v="low"/>
    <n v="5901.06"/>
    <n v="226.60070400000001"/>
    <n v="13"/>
    <n v="675"/>
    <x v="3"/>
    <n v="2"/>
    <s v="Good"/>
    <n v="3"/>
    <n v="7926.47"/>
    <s v="High Income"/>
    <s v="Unemployed"/>
    <s v="With Loan"/>
    <s v="Low-Risk"/>
  </r>
  <r>
    <s v="T000468"/>
    <s v="C8400"/>
    <s v="AC69644300"/>
    <x v="331"/>
    <x v="20"/>
    <x v="6"/>
    <x v="3"/>
    <n v="433.32"/>
    <x v="0"/>
    <n v="26615.25"/>
    <s v="Medium"/>
    <x v="4"/>
    <n v="58"/>
    <x v="2"/>
    <s v="Male"/>
    <s v="Credit"/>
    <x v="364"/>
    <s v="EUR"/>
    <x v="0"/>
    <n v="2.18E-2"/>
    <n v="2.1800000000000002"/>
    <s v="low"/>
    <n v="26681.654999999999"/>
    <n v="581.660079"/>
    <n v="13"/>
    <n v="332"/>
    <x v="0"/>
    <n v="1"/>
    <s v="Default"/>
    <n v="1"/>
    <n v="14392.31"/>
    <s v="High Income"/>
    <s v="Employed"/>
    <s v="Without Loan"/>
    <s v="Low-Risk"/>
  </r>
  <r>
    <s v="T000469"/>
    <s v="C9082"/>
    <s v="AC54924392"/>
    <x v="332"/>
    <x v="3"/>
    <x v="8"/>
    <x v="1"/>
    <n v="2224.8200000000002"/>
    <x v="0"/>
    <n v="24072.5"/>
    <s v="Medium"/>
    <x v="3"/>
    <n v="31"/>
    <x v="0"/>
    <s v="Female"/>
    <s v="Credit"/>
    <x v="365"/>
    <s v="GBP"/>
    <x v="0"/>
    <n v="3.32E-2"/>
    <n v="3.32"/>
    <s v="low"/>
    <n v="20053.439999999999"/>
    <n v="665.77420799999993"/>
    <n v="26"/>
    <n v="803"/>
    <x v="1"/>
    <n v="1"/>
    <s v="Default"/>
    <n v="5"/>
    <n v="13055.89"/>
    <s v="High Income"/>
    <s v="Employed"/>
    <s v="With Loan"/>
    <s v="Low-Risk"/>
  </r>
  <r>
    <s v="T000470"/>
    <s v="C5171"/>
    <s v="AC41670310"/>
    <x v="17"/>
    <x v="1"/>
    <x v="6"/>
    <x v="1"/>
    <n v="4219.6000000000004"/>
    <x v="0"/>
    <n v="33146.699999999997"/>
    <s v="Medium"/>
    <x v="1"/>
    <n v="21"/>
    <x v="4"/>
    <s v="Female"/>
    <s v="Credit"/>
    <x v="366"/>
    <s v="USD"/>
    <x v="0"/>
    <n v="4.7800000000000002E-2"/>
    <n v="4.78"/>
    <s v="high"/>
    <n v="26681.654999999999"/>
    <n v="1275.3831090000001"/>
    <n v="20"/>
    <n v="302"/>
    <x v="0"/>
    <n v="1"/>
    <s v="Default"/>
    <n v="1"/>
    <n v="3888.03"/>
    <s v="Middle Income"/>
    <s v="Unemployed"/>
    <s v="Without Loan"/>
    <s v="Low-Risk"/>
  </r>
  <r>
    <s v="T000471"/>
    <s v="C5360"/>
    <s v="AC68237814"/>
    <x v="231"/>
    <x v="0"/>
    <x v="6"/>
    <x v="0"/>
    <n v="7620.15"/>
    <x v="0"/>
    <n v="28419.360000000001"/>
    <s v="Medium"/>
    <x v="1"/>
    <n v="46"/>
    <x v="2"/>
    <s v="Female"/>
    <s v="Credit"/>
    <x v="196"/>
    <s v="GBP"/>
    <x v="2"/>
    <n v="4.2500000000000003E-2"/>
    <n v="4.25"/>
    <s v="high"/>
    <n v="26681.654999999999"/>
    <n v="1133.9703375000001"/>
    <n v="15"/>
    <n v="785"/>
    <x v="4"/>
    <n v="2"/>
    <s v="Good"/>
    <n v="4"/>
    <n v="2387.15"/>
    <s v="Low Income"/>
    <s v="Employed"/>
    <s v="Without Loan"/>
    <s v="Low-Risk"/>
  </r>
  <r>
    <s v="T000472"/>
    <s v="C3502"/>
    <s v="AC67641756"/>
    <x v="333"/>
    <x v="24"/>
    <x v="2"/>
    <x v="1"/>
    <n v="1959.64"/>
    <x v="0"/>
    <n v="34664.92"/>
    <s v="Medium"/>
    <x v="3"/>
    <n v="58"/>
    <x v="2"/>
    <s v="Male"/>
    <s v="Credit"/>
    <x v="367"/>
    <s v="GBP"/>
    <x v="0"/>
    <n v="3.9699999999999999E-2"/>
    <n v="3.97"/>
    <s v="low"/>
    <n v="26681.654999999999"/>
    <n v="1059.2617034999998"/>
    <n v="18"/>
    <n v="815"/>
    <x v="1"/>
    <n v="1"/>
    <s v="Default"/>
    <n v="5"/>
    <n v="14135.82"/>
    <s v="High Income"/>
    <s v="Employed"/>
    <s v="Without Loan"/>
    <s v="Low-Risk"/>
  </r>
  <r>
    <s v="T000473"/>
    <s v="C1717"/>
    <s v="AC36552476"/>
    <x v="334"/>
    <x v="11"/>
    <x v="10"/>
    <x v="0"/>
    <n v="7225.94"/>
    <x v="0"/>
    <n v="33246.050000000003"/>
    <s v="Medium"/>
    <x v="1"/>
    <n v="62"/>
    <x v="3"/>
    <s v="Male"/>
    <s v="Credit"/>
    <x v="255"/>
    <s v="USD"/>
    <x v="2"/>
    <n v="3.95E-2"/>
    <n v="3.95"/>
    <s v="low"/>
    <n v="28451.7"/>
    <n v="1123.8421499999999"/>
    <n v="13"/>
    <n v="341"/>
    <x v="0"/>
    <n v="2"/>
    <s v="Good"/>
    <n v="1"/>
    <n v="8847.75"/>
    <s v="High Income"/>
    <s v="Self-employed"/>
    <s v="With Loan"/>
    <s v="Low-Risk"/>
  </r>
  <r>
    <s v="T000474"/>
    <s v="C3782"/>
    <s v="AC83548874"/>
    <x v="242"/>
    <x v="23"/>
    <x v="9"/>
    <x v="3"/>
    <n v="8682.64"/>
    <x v="1"/>
    <n v="6733.57"/>
    <s v="Low"/>
    <x v="2"/>
    <n v="67"/>
    <x v="3"/>
    <s v="Male"/>
    <s v="Checking"/>
    <x v="368"/>
    <s v="GBP"/>
    <x v="0"/>
    <n v="1.7100000000000001E-2"/>
    <n v="1.71"/>
    <s v="low"/>
    <n v="26681.654999999999"/>
    <n v="456.25630050000001"/>
    <n v="13"/>
    <n v="308"/>
    <x v="0"/>
    <n v="1"/>
    <s v="Default"/>
    <n v="1"/>
    <n v="8991.89"/>
    <s v="High Income"/>
    <s v="Employed"/>
    <s v="Without Loan"/>
    <s v="Low-Risk"/>
  </r>
  <r>
    <s v="T000475"/>
    <s v="C5946"/>
    <s v="AC18674163"/>
    <x v="75"/>
    <x v="26"/>
    <x v="7"/>
    <x v="0"/>
    <n v="4594.07"/>
    <x v="0"/>
    <n v="40186.18"/>
    <s v="Medium"/>
    <x v="1"/>
    <n v="32"/>
    <x v="0"/>
    <s v="Female"/>
    <s v="Checking"/>
    <x v="352"/>
    <s v="USD"/>
    <x v="1"/>
    <n v="4.2999999999999997E-2"/>
    <n v="4.2999999999999997E-2"/>
    <s v="low"/>
    <n v="28616.75"/>
    <n v="1230.5202499999998"/>
    <n v="13"/>
    <n v="441"/>
    <x v="0"/>
    <n v="0"/>
    <s v="Good"/>
    <n v="1"/>
    <n v="12149.33"/>
    <s v="High Income"/>
    <s v="Self-employed"/>
    <s v="With Loan"/>
    <s v="Low-Risk"/>
  </r>
  <r>
    <s v="T000476"/>
    <s v="C6486"/>
    <s v="AC95388417"/>
    <x v="90"/>
    <x v="15"/>
    <x v="5"/>
    <x v="0"/>
    <n v="8232.18"/>
    <x v="1"/>
    <n v="7038.4"/>
    <s v="Low"/>
    <x v="1"/>
    <n v="45"/>
    <x v="1"/>
    <s v="Female"/>
    <s v="Checking"/>
    <x v="369"/>
    <s v="EUR"/>
    <x v="0"/>
    <n v="2.1000000000000001E-2"/>
    <n v="2.1000000000000001E-2"/>
    <s v="low"/>
    <n v="26681.654999999999"/>
    <n v="560.31475499999999"/>
    <n v="13"/>
    <n v="735"/>
    <x v="3"/>
    <n v="1"/>
    <s v="Default"/>
    <n v="3"/>
    <n v="6090.96"/>
    <s v="High Income"/>
    <s v="Unemployed"/>
    <s v="Without Loan"/>
    <s v="Low-Risk"/>
  </r>
  <r>
    <s v="T000477"/>
    <s v="C9335"/>
    <s v="AC58548947"/>
    <x v="335"/>
    <x v="1"/>
    <x v="2"/>
    <x v="2"/>
    <n v="5591.11"/>
    <x v="0"/>
    <n v="35228"/>
    <s v="Medium"/>
    <x v="3"/>
    <n v="59"/>
    <x v="2"/>
    <s v="Female"/>
    <s v="Savings"/>
    <x v="370"/>
    <s v="USD"/>
    <x v="1"/>
    <n v="4.7199999999999999E-2"/>
    <n v="4.72"/>
    <s v="high"/>
    <n v="26681.654999999999"/>
    <n v="1259.374116"/>
    <n v="13"/>
    <n v="326"/>
    <x v="0"/>
    <n v="0"/>
    <s v="Good"/>
    <n v="1"/>
    <n v="8264.7999999999993"/>
    <s v="High Income"/>
    <s v="Self-employed"/>
    <s v="Without Loan"/>
    <s v="Low-Risk"/>
  </r>
  <r>
    <s v="T000478"/>
    <s v="C5980"/>
    <s v="AC37209162"/>
    <x v="223"/>
    <x v="9"/>
    <x v="2"/>
    <x v="1"/>
    <n v="6407.2"/>
    <x v="0"/>
    <n v="21391.119999999999"/>
    <s v="Medium"/>
    <x v="0"/>
    <n v="33"/>
    <x v="0"/>
    <s v="Male"/>
    <s v="Savings"/>
    <x v="147"/>
    <s v="USD"/>
    <x v="1"/>
    <n v="2.46E-2"/>
    <n v="2.46"/>
    <s v="low"/>
    <n v="26681.654999999999"/>
    <n v="656.36871299999996"/>
    <n v="11"/>
    <n v="342"/>
    <x v="0"/>
    <n v="0"/>
    <s v="Good"/>
    <n v="1"/>
    <n v="14592.62"/>
    <s v="High Income"/>
    <s v="Unemployed"/>
    <s v="Without Loan"/>
    <s v="Low-Risk"/>
  </r>
  <r>
    <s v="T000479"/>
    <s v="C8266"/>
    <s v="AC67396048"/>
    <x v="336"/>
    <x v="18"/>
    <x v="1"/>
    <x v="3"/>
    <n v="5310.16"/>
    <x v="0"/>
    <n v="26178.69"/>
    <s v="Medium"/>
    <x v="1"/>
    <n v="29"/>
    <x v="0"/>
    <s v="Male"/>
    <s v="Checking"/>
    <x v="293"/>
    <s v="USD"/>
    <x v="1"/>
    <n v="4.4299999999999999E-2"/>
    <n v="4.43"/>
    <s v="high"/>
    <n v="16319.55"/>
    <n v="722.95606499999997"/>
    <n v="6"/>
    <n v="430"/>
    <x v="0"/>
    <n v="0"/>
    <s v="Good"/>
    <n v="1"/>
    <n v="10737.93"/>
    <s v="High Income"/>
    <s v="Employed"/>
    <s v="With Loan"/>
    <s v="Low-Risk"/>
  </r>
  <r>
    <s v="T000480"/>
    <s v="C5491"/>
    <s v="AC10224695"/>
    <x v="337"/>
    <x v="22"/>
    <x v="6"/>
    <x v="0"/>
    <n v="4685.41"/>
    <x v="0"/>
    <n v="45261.599999999999"/>
    <s v="Medium"/>
    <x v="1"/>
    <n v="69"/>
    <x v="3"/>
    <s v="Female"/>
    <s v="Savings"/>
    <x v="371"/>
    <s v="GBP"/>
    <x v="2"/>
    <n v="2.06E-2"/>
    <n v="2.06"/>
    <s v="low"/>
    <n v="20453.93"/>
    <n v="421.35095799999999"/>
    <n v="13"/>
    <n v="515"/>
    <x v="0"/>
    <n v="2"/>
    <s v="Good"/>
    <n v="1"/>
    <n v="3998.69"/>
    <s v="Middle Income"/>
    <s v="Employed"/>
    <s v="With Loan"/>
    <s v="Low-Risk"/>
  </r>
  <r>
    <s v="T000481"/>
    <s v="C8192"/>
    <s v="AC63773276"/>
    <x v="59"/>
    <x v="14"/>
    <x v="8"/>
    <x v="3"/>
    <n v="2423.0700000000002"/>
    <x v="0"/>
    <n v="44604.3"/>
    <s v="Medium"/>
    <x v="0"/>
    <n v="22"/>
    <x v="4"/>
    <s v="Male"/>
    <s v="Savings"/>
    <x v="323"/>
    <s v="USD"/>
    <x v="1"/>
    <n v="3.0599999999999999E-2"/>
    <n v="3.06"/>
    <s v="low"/>
    <n v="26681.654999999999"/>
    <n v="816.45864299999994"/>
    <n v="13"/>
    <n v="819"/>
    <x v="1"/>
    <n v="0"/>
    <s v="Good"/>
    <n v="5"/>
    <n v="3731.95"/>
    <s v="Middle Income"/>
    <s v="Self-employed"/>
    <s v="Without Loan"/>
    <s v="Low-Risk"/>
  </r>
  <r>
    <s v="T000482"/>
    <s v="C6588"/>
    <s v="AC36267668"/>
    <x v="338"/>
    <x v="3"/>
    <x v="0"/>
    <x v="2"/>
    <n v="3101.62"/>
    <x v="0"/>
    <n v="41074.959999999999"/>
    <s v="Medium"/>
    <x v="3"/>
    <n v="51"/>
    <x v="2"/>
    <s v="Female"/>
    <s v="Credit"/>
    <x v="372"/>
    <s v="USD"/>
    <x v="0"/>
    <n v="1.43E-2"/>
    <n v="1.43"/>
    <s v="low"/>
    <n v="13639.64"/>
    <n v="195.046852"/>
    <n v="29"/>
    <n v="644"/>
    <x v="2"/>
    <n v="1"/>
    <s v="Default"/>
    <n v="2"/>
    <n v="4655.4399999999996"/>
    <s v="Middle Income"/>
    <s v="Unemployed"/>
    <s v="With Loan"/>
    <s v="Low-Risk"/>
  </r>
  <r>
    <s v="T000483"/>
    <s v="C8651"/>
    <s v="AC24063918"/>
    <x v="315"/>
    <x v="3"/>
    <x v="10"/>
    <x v="1"/>
    <n v="2970.7"/>
    <x v="0"/>
    <n v="25997.27"/>
    <s v="Medium"/>
    <x v="0"/>
    <n v="59"/>
    <x v="2"/>
    <s v="Male"/>
    <s v="Credit"/>
    <x v="373"/>
    <s v="USD"/>
    <x v="2"/>
    <n v="3.6400000000000002E-2"/>
    <n v="3.64"/>
    <s v="low"/>
    <n v="15119.38"/>
    <n v="550.34543199999996"/>
    <n v="13"/>
    <n v="807"/>
    <x v="1"/>
    <n v="2"/>
    <s v="Good"/>
    <n v="5"/>
    <n v="11967.25"/>
    <s v="High Income"/>
    <s v="Employed"/>
    <s v="With Loan"/>
    <s v="Low-Risk"/>
  </r>
  <r>
    <s v="T000484"/>
    <s v="C4636"/>
    <s v="AC67884623"/>
    <x v="205"/>
    <x v="21"/>
    <x v="0"/>
    <x v="0"/>
    <n v="5676.56"/>
    <x v="0"/>
    <n v="37075.75"/>
    <s v="Medium"/>
    <x v="3"/>
    <n v="18"/>
    <x v="4"/>
    <s v="Female"/>
    <s v="Savings"/>
    <x v="374"/>
    <s v="EUR"/>
    <x v="1"/>
    <n v="4.3400000000000001E-2"/>
    <n v="4.34"/>
    <s v="high"/>
    <n v="26681.654999999999"/>
    <n v="1157.983827"/>
    <n v="25"/>
    <n v="712"/>
    <x v="3"/>
    <n v="0"/>
    <s v="Good"/>
    <n v="3"/>
    <n v="5839.9"/>
    <s v="High Income"/>
    <s v="Self-employed"/>
    <s v="Without Loan"/>
    <s v="Low-Risk"/>
  </r>
  <r>
    <s v="T000485"/>
    <s v="C2167"/>
    <s v="AC68454884"/>
    <x v="177"/>
    <x v="29"/>
    <x v="0"/>
    <x v="1"/>
    <n v="1287.54"/>
    <x v="0"/>
    <n v="26131.96"/>
    <s v="Medium"/>
    <x v="2"/>
    <n v="56"/>
    <x v="2"/>
    <s v="Male"/>
    <s v="Savings"/>
    <x v="375"/>
    <s v="USD"/>
    <x v="2"/>
    <n v="3.8699999999999998E-2"/>
    <n v="3.87"/>
    <s v="low"/>
    <n v="26681.654999999999"/>
    <n v="1032.5800485"/>
    <n v="2"/>
    <n v="545"/>
    <x v="0"/>
    <n v="2"/>
    <s v="Good"/>
    <n v="1"/>
    <n v="2278.06"/>
    <s v="Low Income"/>
    <s v="Self-employed"/>
    <s v="Without Loan"/>
    <s v="Low-Risk"/>
  </r>
  <r>
    <s v="T000486"/>
    <s v="C2062"/>
    <s v="AC68093498"/>
    <x v="263"/>
    <x v="25"/>
    <x v="3"/>
    <x v="2"/>
    <n v="9176.24"/>
    <x v="0"/>
    <n v="43610.7"/>
    <s v="Medium"/>
    <x v="3"/>
    <n v="49"/>
    <x v="2"/>
    <s v="Male"/>
    <s v="Checking"/>
    <x v="170"/>
    <s v="GBP"/>
    <x v="2"/>
    <n v="3.09E-2"/>
    <n v="3.09"/>
    <s v="low"/>
    <n v="34376.6"/>
    <n v="1062.23694"/>
    <n v="13"/>
    <n v="748"/>
    <x v="4"/>
    <n v="2"/>
    <s v="Good"/>
    <n v="4"/>
    <n v="14274.27"/>
    <s v="High Income"/>
    <s v="Self-employed"/>
    <s v="With Loan"/>
    <s v="Low-Risk"/>
  </r>
  <r>
    <s v="T000487"/>
    <s v="C3156"/>
    <s v="AC53353746"/>
    <x v="258"/>
    <x v="12"/>
    <x v="6"/>
    <x v="2"/>
    <n v="7234.49"/>
    <x v="0"/>
    <n v="20736.02"/>
    <s v="Medium"/>
    <x v="2"/>
    <n v="43"/>
    <x v="1"/>
    <s v="Female"/>
    <s v="Savings"/>
    <x v="376"/>
    <s v="USD"/>
    <x v="2"/>
    <n v="1.18E-2"/>
    <n v="1.18"/>
    <s v="low"/>
    <n v="26681.654999999999"/>
    <n v="314.84352899999999"/>
    <n v="13"/>
    <n v="320"/>
    <x v="0"/>
    <n v="2"/>
    <s v="Good"/>
    <n v="1"/>
    <n v="4206.2700000000004"/>
    <s v="Middle Income"/>
    <s v="Employed"/>
    <s v="Without Loan"/>
    <s v="Low-Risk"/>
  </r>
  <r>
    <s v="T000488"/>
    <s v="C8860"/>
    <s v="AC30610500"/>
    <x v="339"/>
    <x v="15"/>
    <x v="6"/>
    <x v="3"/>
    <n v="4074.31"/>
    <x v="0"/>
    <n v="48541.53"/>
    <s v="Medium"/>
    <x v="2"/>
    <n v="34"/>
    <x v="0"/>
    <s v="Female"/>
    <s v="Credit"/>
    <x v="377"/>
    <s v="USD"/>
    <x v="0"/>
    <n v="4.7300000000000002E-2"/>
    <n v="4.7300000000000004"/>
    <s v="high"/>
    <n v="26681.654999999999"/>
    <n v="1262.0422814999999"/>
    <n v="13"/>
    <n v="707"/>
    <x v="3"/>
    <n v="1"/>
    <s v="Default"/>
    <n v="3"/>
    <n v="2124.2600000000002"/>
    <s v="Low Income"/>
    <s v="Unemployed"/>
    <s v="Without Loan"/>
    <s v="Low-Risk"/>
  </r>
  <r>
    <s v="T000489"/>
    <s v="C6161"/>
    <s v="AC75402242"/>
    <x v="340"/>
    <x v="27"/>
    <x v="1"/>
    <x v="0"/>
    <n v="1670.38"/>
    <x v="0"/>
    <n v="46683.82"/>
    <s v="Medium"/>
    <x v="3"/>
    <n v="65"/>
    <x v="3"/>
    <s v="Female"/>
    <s v="Savings"/>
    <x v="176"/>
    <s v="EUR"/>
    <x v="1"/>
    <n v="3.8199999999999998E-2"/>
    <n v="3.82"/>
    <s v="low"/>
    <n v="13267.78"/>
    <n v="506.82919600000002"/>
    <n v="13"/>
    <n v="756"/>
    <x v="4"/>
    <n v="0"/>
    <s v="Good"/>
    <n v="4"/>
    <n v="5082.71"/>
    <s v="High Income"/>
    <s v="Employed"/>
    <s v="With Loan"/>
    <s v="Low-Risk"/>
  </r>
  <r>
    <s v="T000490"/>
    <s v="C6305"/>
    <s v="AC23245696"/>
    <x v="215"/>
    <x v="1"/>
    <x v="0"/>
    <x v="3"/>
    <n v="8831.7199999999993"/>
    <x v="0"/>
    <n v="37338.53"/>
    <s v="Medium"/>
    <x v="4"/>
    <n v="44"/>
    <x v="1"/>
    <s v="Female"/>
    <s v="Checking"/>
    <x v="196"/>
    <s v="USD"/>
    <x v="2"/>
    <n v="3.9800000000000002E-2"/>
    <n v="3.98"/>
    <s v="low"/>
    <n v="22048.14"/>
    <n v="877.51597200000003"/>
    <n v="13"/>
    <n v="743"/>
    <x v="4"/>
    <n v="2"/>
    <s v="Good"/>
    <n v="4"/>
    <n v="5055.37"/>
    <s v="High Income"/>
    <s v="Employed"/>
    <s v="With Loan"/>
    <s v="Low-Risk"/>
  </r>
  <r>
    <s v="T000491"/>
    <s v="C7541"/>
    <s v="AC45402297"/>
    <x v="341"/>
    <x v="25"/>
    <x v="5"/>
    <x v="2"/>
    <n v="8255.4"/>
    <x v="1"/>
    <n v="14691.38"/>
    <s v="Medium"/>
    <x v="3"/>
    <n v="41"/>
    <x v="1"/>
    <s v="Female"/>
    <s v="Credit"/>
    <x v="311"/>
    <s v="GBP"/>
    <x v="2"/>
    <n v="4.1799999999999997E-2"/>
    <n v="4.18"/>
    <s v="high"/>
    <n v="26681.654999999999"/>
    <n v="1115.2931789999998"/>
    <n v="13"/>
    <n v="564"/>
    <x v="0"/>
    <n v="2"/>
    <s v="Good"/>
    <n v="1"/>
    <n v="7486.07"/>
    <s v="High Income"/>
    <s v="Unemployed"/>
    <s v="Without Loan"/>
    <s v="Low-Risk"/>
  </r>
  <r>
    <s v="T000492"/>
    <s v="C5729"/>
    <s v="AC92030459"/>
    <x v="108"/>
    <x v="7"/>
    <x v="2"/>
    <x v="1"/>
    <n v="7245.04"/>
    <x v="1"/>
    <n v="7451.03"/>
    <s v="Low"/>
    <x v="1"/>
    <n v="52"/>
    <x v="2"/>
    <s v="Male"/>
    <s v="Credit"/>
    <x v="154"/>
    <s v="USD"/>
    <x v="2"/>
    <n v="3.9899999999999998E-2"/>
    <n v="3.99"/>
    <s v="low"/>
    <n v="5443.73"/>
    <n v="217.20482699999997"/>
    <n v="24"/>
    <n v="483"/>
    <x v="0"/>
    <n v="2"/>
    <s v="Good"/>
    <n v="1"/>
    <n v="13965.07"/>
    <s v="High Income"/>
    <s v="Self-employed"/>
    <s v="With Loan"/>
    <s v="Low-Risk"/>
  </r>
  <r>
    <s v="T000493"/>
    <s v="C8330"/>
    <s v="AC34363941"/>
    <x v="212"/>
    <x v="26"/>
    <x v="8"/>
    <x v="3"/>
    <n v="2788.32"/>
    <x v="0"/>
    <n v="42880.47"/>
    <s v="Medium"/>
    <x v="1"/>
    <n v="63"/>
    <x v="3"/>
    <s v="Female"/>
    <s v="Credit"/>
    <x v="206"/>
    <s v="GBP"/>
    <x v="1"/>
    <n v="2.76E-2"/>
    <n v="2.76"/>
    <s v="low"/>
    <n v="35504.089999999997"/>
    <n v="979.91288399999985"/>
    <n v="13"/>
    <n v="526"/>
    <x v="0"/>
    <n v="0"/>
    <s v="Good"/>
    <n v="1"/>
    <n v="13429.4"/>
    <s v="High Income"/>
    <s v="Employed"/>
    <s v="With Loan"/>
    <s v="High-Risk"/>
  </r>
  <r>
    <s v="T000494"/>
    <s v="C6334"/>
    <s v="AC58123406"/>
    <x v="25"/>
    <x v="13"/>
    <x v="6"/>
    <x v="3"/>
    <n v="4084.22"/>
    <x v="1"/>
    <n v="9099.81"/>
    <s v="Low"/>
    <x v="4"/>
    <n v="59"/>
    <x v="2"/>
    <s v="Female"/>
    <s v="Credit"/>
    <x v="134"/>
    <s v="EUR"/>
    <x v="2"/>
    <n v="3.9300000000000002E-2"/>
    <n v="3.93"/>
    <s v="low"/>
    <n v="26681.654999999999"/>
    <n v="1048.5890414999999"/>
    <n v="29"/>
    <n v="847"/>
    <x v="1"/>
    <n v="2"/>
    <s v="Good"/>
    <n v="5"/>
    <n v="7939.63"/>
    <s v="High Income"/>
    <s v="Self-employed"/>
    <s v="Without Loan"/>
    <s v="Low-Risk"/>
  </r>
  <r>
    <s v="T000495"/>
    <s v="C9924"/>
    <s v="AC65229602"/>
    <x v="142"/>
    <x v="12"/>
    <x v="2"/>
    <x v="1"/>
    <n v="1117.21"/>
    <x v="0"/>
    <n v="42858.78"/>
    <s v="Medium"/>
    <x v="2"/>
    <n v="56"/>
    <x v="2"/>
    <s v="Female"/>
    <s v="Savings"/>
    <x v="144"/>
    <s v="USD"/>
    <x v="2"/>
    <n v="3.5000000000000003E-2"/>
    <n v="3.5000000000000003E-2"/>
    <s v="low"/>
    <n v="26681.654999999999"/>
    <n v="933.85792500000002"/>
    <n v="2"/>
    <n v="545"/>
    <x v="0"/>
    <n v="2"/>
    <s v="Good"/>
    <n v="1"/>
    <n v="7341.7"/>
    <s v="High Income"/>
    <s v="Self-employed"/>
    <s v="Without Loan"/>
    <s v="Low-Risk"/>
  </r>
  <r>
    <s v="T000496"/>
    <s v="C5330"/>
    <s v="AC11074961"/>
    <x v="342"/>
    <x v="3"/>
    <x v="3"/>
    <x v="3"/>
    <n v="1971.49"/>
    <x v="0"/>
    <n v="25047.49"/>
    <s v="Medium"/>
    <x v="4"/>
    <n v="43"/>
    <x v="1"/>
    <s v="Male"/>
    <s v="Checking"/>
    <x v="378"/>
    <s v="EUR"/>
    <x v="0"/>
    <n v="4.4200000000000003E-2"/>
    <n v="4.42"/>
    <s v="high"/>
    <n v="26681.654999999999"/>
    <n v="1179.3291510000001"/>
    <n v="21"/>
    <n v="372"/>
    <x v="0"/>
    <n v="1"/>
    <s v="Default"/>
    <n v="1"/>
    <n v="9215.1200000000008"/>
    <s v="High Income"/>
    <s v="Unemployed"/>
    <s v="Without Loan"/>
    <s v="Low-Risk"/>
  </r>
  <r>
    <s v="T000497"/>
    <s v="C9010"/>
    <s v="AC98511758"/>
    <x v="108"/>
    <x v="7"/>
    <x v="2"/>
    <x v="1"/>
    <n v="7851.86"/>
    <x v="0"/>
    <n v="20921.28"/>
    <s v="Medium"/>
    <x v="1"/>
    <n v="66"/>
    <x v="3"/>
    <s v="Female"/>
    <s v="Savings"/>
    <x v="379"/>
    <s v="USD"/>
    <x v="1"/>
    <n v="4.2099999999999999E-2"/>
    <n v="4.21"/>
    <s v="high"/>
    <n v="26681.654999999999"/>
    <n v="1123.2976755"/>
    <n v="13"/>
    <n v="449"/>
    <x v="0"/>
    <n v="0"/>
    <s v="Good"/>
    <n v="1"/>
    <n v="5164.8999999999996"/>
    <s v="High Income"/>
    <s v="Unemployed"/>
    <s v="Without Loan"/>
    <s v="Low-Risk"/>
  </r>
  <r>
    <s v="T000498"/>
    <s v="C7801"/>
    <s v="AC21950571"/>
    <x v="275"/>
    <x v="16"/>
    <x v="0"/>
    <x v="0"/>
    <n v="7178.88"/>
    <x v="0"/>
    <n v="45256.35"/>
    <s v="Medium"/>
    <x v="4"/>
    <n v="55"/>
    <x v="2"/>
    <s v="Female"/>
    <s v="Savings"/>
    <x v="380"/>
    <s v="GBP"/>
    <x v="0"/>
    <n v="1.17E-2"/>
    <n v="1.17"/>
    <s v="low"/>
    <n v="44502.45"/>
    <n v="520.67866500000002"/>
    <n v="13"/>
    <n v="812"/>
    <x v="1"/>
    <n v="1"/>
    <s v="Default"/>
    <n v="5"/>
    <n v="2678.4"/>
    <s v="Low Income"/>
    <s v="Unemployed"/>
    <s v="With Loan"/>
    <s v="Low-Risk"/>
  </r>
  <r>
    <s v="T000499"/>
    <s v="C5846"/>
    <s v="AC29155151"/>
    <x v="343"/>
    <x v="6"/>
    <x v="0"/>
    <x v="1"/>
    <n v="5975.51"/>
    <x v="0"/>
    <n v="30588.7"/>
    <s v="Medium"/>
    <x v="3"/>
    <n v="40"/>
    <x v="1"/>
    <s v="Female"/>
    <s v="Credit"/>
    <x v="108"/>
    <s v="EUR"/>
    <x v="1"/>
    <n v="2.52E-2"/>
    <n v="2.52"/>
    <s v="low"/>
    <n v="26684.3"/>
    <n v="672.44435999999996"/>
    <n v="13"/>
    <n v="368"/>
    <x v="0"/>
    <n v="0"/>
    <s v="Good"/>
    <n v="1"/>
    <n v="14209.91"/>
    <s v="High Income"/>
    <s v="Self-employed"/>
    <s v="With Loan"/>
    <s v="Low-Risk"/>
  </r>
  <r>
    <s v="T000500"/>
    <s v="C7731"/>
    <s v="AC61465754"/>
    <x v="344"/>
    <x v="12"/>
    <x v="6"/>
    <x v="0"/>
    <n v="8967.69"/>
    <x v="0"/>
    <n v="29254.09"/>
    <s v="Medium"/>
    <x v="4"/>
    <n v="39"/>
    <x v="1"/>
    <s v="Male"/>
    <s v="Checking"/>
    <x v="381"/>
    <s v="USD"/>
    <x v="1"/>
    <n v="1.14E-2"/>
    <n v="1.1399999999999999"/>
    <s v="low"/>
    <n v="26681.654999999999"/>
    <n v="304.17086699999999"/>
    <n v="13"/>
    <n v="529"/>
    <x v="0"/>
    <n v="0"/>
    <s v="Good"/>
    <n v="1"/>
    <n v="4427.09"/>
    <s v="Middle Income"/>
    <s v="Self-employed"/>
    <s v="Without Loan"/>
    <s v="Low-Risk"/>
  </r>
  <r>
    <s v="T000501"/>
    <s v="C8241"/>
    <s v="AC22866619"/>
    <x v="345"/>
    <x v="22"/>
    <x v="2"/>
    <x v="1"/>
    <n v="5874.34"/>
    <x v="0"/>
    <n v="28379.53"/>
    <s v="Medium"/>
    <x v="2"/>
    <n v="21"/>
    <x v="4"/>
    <s v="Male"/>
    <s v="Credit"/>
    <x v="352"/>
    <s v="GBP"/>
    <x v="1"/>
    <n v="1.41E-2"/>
    <n v="1.41"/>
    <s v="low"/>
    <n v="26681.654999999999"/>
    <n v="376.21133549999996"/>
    <n v="13"/>
    <n v="371"/>
    <x v="0"/>
    <n v="0"/>
    <s v="Good"/>
    <n v="1"/>
    <n v="4579.21"/>
    <s v="Middle Income"/>
    <s v="Employed"/>
    <s v="Without Loan"/>
    <s v="Low-Risk"/>
  </r>
  <r>
    <s v="T000502"/>
    <s v="C1953"/>
    <s v="AC79583832"/>
    <x v="346"/>
    <x v="23"/>
    <x v="6"/>
    <x v="2"/>
    <n v="4722.9799999999996"/>
    <x v="1"/>
    <n v="19187.310000000001"/>
    <s v="Medium"/>
    <x v="3"/>
    <n v="66"/>
    <x v="3"/>
    <s v="Female"/>
    <s v="Savings"/>
    <x v="61"/>
    <s v="EUR"/>
    <x v="0"/>
    <n v="3.4099999999999998E-2"/>
    <n v="3.41"/>
    <s v="low"/>
    <n v="26681.654999999999"/>
    <n v="909.84443549999992"/>
    <n v="13"/>
    <n v="696"/>
    <x v="3"/>
    <n v="1"/>
    <s v="Default"/>
    <n v="3"/>
    <n v="8141.98"/>
    <s v="High Income"/>
    <s v="Self-employed"/>
    <s v="Without Loan"/>
    <s v="Low-Risk"/>
  </r>
  <r>
    <s v="T000503"/>
    <s v="C3539"/>
    <s v="AC99858638"/>
    <x v="287"/>
    <x v="22"/>
    <x v="0"/>
    <x v="2"/>
    <n v="3469.67"/>
    <x v="0"/>
    <n v="39496.51"/>
    <s v="Medium"/>
    <x v="0"/>
    <n v="26"/>
    <x v="0"/>
    <s v="Male"/>
    <s v="Savings"/>
    <x v="382"/>
    <s v="USD"/>
    <x v="0"/>
    <n v="4.4999999999999998E-2"/>
    <n v="4.4999999999999998E-2"/>
    <s v="low"/>
    <n v="26681.654999999999"/>
    <n v="1200.6744749999998"/>
    <n v="13"/>
    <n v="383"/>
    <x v="0"/>
    <n v="1"/>
    <s v="Default"/>
    <n v="1"/>
    <n v="8390.9699999999993"/>
    <s v="High Income"/>
    <s v="Unemployed"/>
    <s v="Without Loan"/>
    <s v="Low-Risk"/>
  </r>
  <r>
    <s v="T000504"/>
    <s v="C8056"/>
    <s v="AC79551130"/>
    <x v="332"/>
    <x v="3"/>
    <x v="8"/>
    <x v="0"/>
    <n v="9410.44"/>
    <x v="1"/>
    <n v="13387.12"/>
    <s v="Medium"/>
    <x v="1"/>
    <n v="21"/>
    <x v="4"/>
    <s v="Female"/>
    <s v="Credit"/>
    <x v="132"/>
    <s v="EUR"/>
    <x v="0"/>
    <n v="1.4800000000000001E-2"/>
    <n v="1.48"/>
    <s v="low"/>
    <n v="5804.31"/>
    <n v="85.903788000000006"/>
    <n v="13"/>
    <n v="598"/>
    <x v="2"/>
    <n v="1"/>
    <s v="Default"/>
    <n v="2"/>
    <n v="2239.64"/>
    <s v="Low Income"/>
    <s v="Unemployed"/>
    <s v="With Loan"/>
    <s v="Low-Risk"/>
  </r>
  <r>
    <s v="T000505"/>
    <s v="C2542"/>
    <s v="AC14437677"/>
    <x v="347"/>
    <x v="5"/>
    <x v="7"/>
    <x v="0"/>
    <n v="918.88"/>
    <x v="0"/>
    <n v="47005.85"/>
    <s v="Medium"/>
    <x v="1"/>
    <n v="24"/>
    <x v="4"/>
    <s v="Male"/>
    <s v="Savings"/>
    <x v="75"/>
    <s v="USD"/>
    <x v="0"/>
    <n v="2.8000000000000001E-2"/>
    <n v="2.8000000000000001E-2"/>
    <s v="low"/>
    <n v="20062.52"/>
    <n v="561.75056000000006"/>
    <n v="12"/>
    <n v="592"/>
    <x v="2"/>
    <n v="1"/>
    <s v="Default"/>
    <n v="2"/>
    <n v="3923.41"/>
    <s v="Middle Income"/>
    <s v="Unemployed"/>
    <s v="With Loan"/>
    <s v="Low-Risk"/>
  </r>
  <r>
    <s v="T000506"/>
    <s v="C6293"/>
    <s v="AC57347699"/>
    <x v="33"/>
    <x v="1"/>
    <x v="6"/>
    <x v="2"/>
    <n v="9315.7800000000007"/>
    <x v="0"/>
    <n v="44805.279999999999"/>
    <s v="Medium"/>
    <x v="4"/>
    <n v="40"/>
    <x v="1"/>
    <s v="Female"/>
    <s v="Savings"/>
    <x v="261"/>
    <s v="GBP"/>
    <x v="2"/>
    <n v="4.6399999999999997E-2"/>
    <n v="4.6399999999999997"/>
    <s v="high"/>
    <n v="26681.654999999999"/>
    <n v="1238.0287919999998"/>
    <n v="13"/>
    <n v="522"/>
    <x v="0"/>
    <n v="2"/>
    <s v="Good"/>
    <n v="1"/>
    <n v="6916.01"/>
    <s v="High Income"/>
    <s v="Unemployed"/>
    <s v="Without Loan"/>
    <s v="Low-Risk"/>
  </r>
  <r>
    <s v="T000507"/>
    <s v="C2191"/>
    <s v="AC86716230"/>
    <x v="348"/>
    <x v="2"/>
    <x v="10"/>
    <x v="0"/>
    <n v="8284.48"/>
    <x v="1"/>
    <n v="17536.54"/>
    <s v="Medium"/>
    <x v="3"/>
    <n v="19"/>
    <x v="4"/>
    <s v="Male"/>
    <s v="Credit"/>
    <x v="375"/>
    <s v="GBP"/>
    <x v="2"/>
    <n v="4.2599999999999999E-2"/>
    <n v="4.26"/>
    <s v="high"/>
    <n v="26681.654999999999"/>
    <n v="1136.6385029999999"/>
    <n v="23"/>
    <n v="515"/>
    <x v="0"/>
    <n v="2"/>
    <s v="Good"/>
    <n v="1"/>
    <n v="10888.5"/>
    <s v="High Income"/>
    <s v="Self-employed"/>
    <s v="Without Loan"/>
    <s v="Low-Risk"/>
  </r>
  <r>
    <s v="T000508"/>
    <s v="C7313"/>
    <s v="AC15241218"/>
    <x v="349"/>
    <x v="27"/>
    <x v="8"/>
    <x v="1"/>
    <n v="1386.31"/>
    <x v="0"/>
    <n v="36743.72"/>
    <s v="Medium"/>
    <x v="0"/>
    <n v="66"/>
    <x v="3"/>
    <s v="Female"/>
    <s v="Savings"/>
    <x v="383"/>
    <s v="EUR"/>
    <x v="2"/>
    <n v="3.0800000000000001E-2"/>
    <n v="3.08"/>
    <s v="low"/>
    <n v="7551.71"/>
    <n v="232.592668"/>
    <n v="12"/>
    <n v="530"/>
    <x v="0"/>
    <n v="2"/>
    <s v="Good"/>
    <n v="1"/>
    <n v="4969.4399999999996"/>
    <s v="Middle Income"/>
    <s v="Unemployed"/>
    <s v="With Loan"/>
    <s v="Low-Risk"/>
  </r>
  <r>
    <s v="T000509"/>
    <s v="C7938"/>
    <s v="AC76777436"/>
    <x v="196"/>
    <x v="3"/>
    <x v="4"/>
    <x v="1"/>
    <n v="5693.35"/>
    <x v="0"/>
    <n v="29087.94"/>
    <s v="Medium"/>
    <x v="3"/>
    <n v="41"/>
    <x v="1"/>
    <s v="Female"/>
    <s v="Checking"/>
    <x v="384"/>
    <s v="EUR"/>
    <x v="1"/>
    <n v="4.0899999999999999E-2"/>
    <n v="4.09"/>
    <s v="high"/>
    <n v="30371.15"/>
    <n v="1242.1800350000001"/>
    <n v="27"/>
    <n v="704"/>
    <x v="3"/>
    <n v="0"/>
    <s v="Good"/>
    <n v="3"/>
    <n v="7499.19"/>
    <s v="High Income"/>
    <s v="Employed"/>
    <s v="With Loan"/>
    <s v="Low-Risk"/>
  </r>
  <r>
    <s v="T000510"/>
    <s v="C3681"/>
    <s v="AC36821567"/>
    <x v="350"/>
    <x v="6"/>
    <x v="4"/>
    <x v="2"/>
    <n v="8678.83"/>
    <x v="1"/>
    <n v="17544.82"/>
    <s v="Medium"/>
    <x v="1"/>
    <n v="57"/>
    <x v="2"/>
    <s v="Male"/>
    <s v="Credit"/>
    <x v="275"/>
    <s v="USD"/>
    <x v="2"/>
    <n v="3.09E-2"/>
    <n v="3.09"/>
    <s v="low"/>
    <n v="14478.43"/>
    <n v="447.383487"/>
    <n v="1"/>
    <n v="468"/>
    <x v="0"/>
    <n v="2"/>
    <s v="Good"/>
    <n v="1"/>
    <n v="9245.49"/>
    <s v="High Income"/>
    <s v="Self-employed"/>
    <s v="With Loan"/>
    <s v="Low-Risk"/>
  </r>
  <r>
    <s v="T000511"/>
    <s v="C2540"/>
    <s v="AC65482283"/>
    <x v="333"/>
    <x v="24"/>
    <x v="2"/>
    <x v="3"/>
    <n v="5760.91"/>
    <x v="0"/>
    <n v="49437.56"/>
    <s v="Medium"/>
    <x v="3"/>
    <n v="48"/>
    <x v="2"/>
    <s v="Female"/>
    <s v="Checking"/>
    <x v="385"/>
    <s v="GBP"/>
    <x v="1"/>
    <n v="1.6299999999999999E-2"/>
    <n v="1.63"/>
    <s v="low"/>
    <n v="47698.06"/>
    <n v="777.47837799999991"/>
    <n v="13"/>
    <n v="628"/>
    <x v="2"/>
    <n v="0"/>
    <s v="Good"/>
    <n v="2"/>
    <n v="13551.7"/>
    <s v="High Income"/>
    <s v="Unemployed"/>
    <s v="With Loan"/>
    <s v="Low-Risk"/>
  </r>
  <r>
    <s v="T000512"/>
    <s v="C7172"/>
    <s v="AC15481140"/>
    <x v="351"/>
    <x v="8"/>
    <x v="4"/>
    <x v="1"/>
    <n v="9081.2800000000007"/>
    <x v="1"/>
    <n v="2236.63"/>
    <s v="Low"/>
    <x v="0"/>
    <n v="64"/>
    <x v="3"/>
    <s v="Female"/>
    <s v="Savings"/>
    <x v="386"/>
    <s v="USD"/>
    <x v="0"/>
    <n v="1.4999999999999999E-2"/>
    <n v="1.4999999999999999E-2"/>
    <s v="low"/>
    <n v="26681.654999999999"/>
    <n v="400.22482499999995"/>
    <n v="13"/>
    <n v="725"/>
    <x v="3"/>
    <n v="1"/>
    <s v="Default"/>
    <n v="3"/>
    <n v="6238.92"/>
    <s v="High Income"/>
    <s v="Employed"/>
    <s v="Without Loan"/>
    <s v="Low-Risk"/>
  </r>
  <r>
    <s v="T000513"/>
    <s v="C6541"/>
    <s v="AC33991831"/>
    <x v="265"/>
    <x v="27"/>
    <x v="9"/>
    <x v="0"/>
    <n v="9435.5400000000009"/>
    <x v="1"/>
    <n v="13379.66"/>
    <s v="Medium"/>
    <x v="4"/>
    <n v="48"/>
    <x v="2"/>
    <s v="Female"/>
    <s v="Savings"/>
    <x v="387"/>
    <s v="GBP"/>
    <x v="1"/>
    <n v="1.7500000000000002E-2"/>
    <n v="1.75"/>
    <s v="low"/>
    <n v="19634.95"/>
    <n v="343.61162500000006"/>
    <n v="17"/>
    <n v="495"/>
    <x v="0"/>
    <n v="0"/>
    <s v="Good"/>
    <n v="1"/>
    <n v="3736.26"/>
    <s v="Middle Income"/>
    <s v="Unemployed"/>
    <s v="With Loan"/>
    <s v="Low-Risk"/>
  </r>
  <r>
    <s v="T000514"/>
    <s v="C2365"/>
    <s v="AC72697275"/>
    <x v="352"/>
    <x v="15"/>
    <x v="0"/>
    <x v="3"/>
    <n v="4281.6099999999997"/>
    <x v="0"/>
    <n v="26483.63"/>
    <s v="Medium"/>
    <x v="2"/>
    <n v="64"/>
    <x v="3"/>
    <s v="Female"/>
    <s v="Credit"/>
    <x v="162"/>
    <s v="EUR"/>
    <x v="1"/>
    <n v="2.4E-2"/>
    <n v="2.4E-2"/>
    <s v="low"/>
    <n v="46552.31"/>
    <n v="1117.2554399999999"/>
    <n v="2"/>
    <n v="825"/>
    <x v="1"/>
    <n v="0"/>
    <s v="Good"/>
    <n v="5"/>
    <n v="8360.5400000000009"/>
    <s v="High Income"/>
    <s v="Self-employed"/>
    <s v="With Loan"/>
    <s v="Low-Risk"/>
  </r>
  <r>
    <s v="T000515"/>
    <s v="C9691"/>
    <s v="AC75658413"/>
    <x v="84"/>
    <x v="22"/>
    <x v="9"/>
    <x v="3"/>
    <n v="3835.41"/>
    <x v="0"/>
    <n v="26575.7"/>
    <s v="Medium"/>
    <x v="3"/>
    <n v="57"/>
    <x v="2"/>
    <s v="Male"/>
    <s v="Savings"/>
    <x v="388"/>
    <s v="USD"/>
    <x v="2"/>
    <n v="4.7199999999999999E-2"/>
    <n v="4.72"/>
    <s v="high"/>
    <n v="23780.66"/>
    <n v="1122.447152"/>
    <n v="17"/>
    <n v="376"/>
    <x v="0"/>
    <n v="2"/>
    <s v="Good"/>
    <n v="1"/>
    <n v="11707.38"/>
    <s v="High Income"/>
    <s v="Self-employed"/>
    <s v="With Loan"/>
    <s v="Low-Risk"/>
  </r>
  <r>
    <s v="T000516"/>
    <s v="C9702"/>
    <s v="AC64856856"/>
    <x v="353"/>
    <x v="22"/>
    <x v="9"/>
    <x v="1"/>
    <n v="9369.58"/>
    <x v="0"/>
    <n v="29857.72"/>
    <s v="Medium"/>
    <x v="2"/>
    <n v="65"/>
    <x v="3"/>
    <s v="Female"/>
    <s v="Credit"/>
    <x v="389"/>
    <s v="USD"/>
    <x v="0"/>
    <n v="4.2000000000000003E-2"/>
    <n v="4.2000000000000003E-2"/>
    <s v="low"/>
    <n v="26681.654999999999"/>
    <n v="1120.62951"/>
    <n v="13"/>
    <n v="576"/>
    <x v="0"/>
    <n v="1"/>
    <s v="Default"/>
    <n v="1"/>
    <n v="3428.18"/>
    <s v="Middle Income"/>
    <s v="Employed"/>
    <s v="Without Loan"/>
    <s v="Low-Risk"/>
  </r>
  <r>
    <s v="T000517"/>
    <s v="C8494"/>
    <s v="AC15290717"/>
    <x v="283"/>
    <x v="14"/>
    <x v="3"/>
    <x v="1"/>
    <n v="6783.89"/>
    <x v="0"/>
    <n v="37832.129999999997"/>
    <s v="Medium"/>
    <x v="1"/>
    <n v="68"/>
    <x v="3"/>
    <s v="Male"/>
    <s v="Credit"/>
    <x v="390"/>
    <s v="GBP"/>
    <x v="0"/>
    <n v="2.7300000000000001E-2"/>
    <n v="2.73"/>
    <s v="low"/>
    <n v="26681.654999999999"/>
    <n v="728.40918150000005"/>
    <n v="26"/>
    <n v="765"/>
    <x v="4"/>
    <n v="1"/>
    <s v="Default"/>
    <n v="4"/>
    <n v="7520.89"/>
    <s v="High Income"/>
    <s v="Self-employed"/>
    <s v="Without Loan"/>
    <s v="Low-Risk"/>
  </r>
  <r>
    <s v="T000518"/>
    <s v="C5312"/>
    <s v="AC29659206"/>
    <x v="308"/>
    <x v="24"/>
    <x v="1"/>
    <x v="3"/>
    <n v="1248.6199999999999"/>
    <x v="0"/>
    <n v="31550.41"/>
    <s v="Medium"/>
    <x v="4"/>
    <n v="60"/>
    <x v="2"/>
    <s v="Male"/>
    <s v="Credit"/>
    <x v="391"/>
    <s v="GBP"/>
    <x v="2"/>
    <n v="2.9700000000000001E-2"/>
    <n v="2.97"/>
    <s v="low"/>
    <n v="18785.509999999998"/>
    <n v="557.92964699999993"/>
    <n v="9"/>
    <n v="747"/>
    <x v="4"/>
    <n v="2"/>
    <s v="Good"/>
    <n v="4"/>
    <n v="2231.21"/>
    <s v="Low Income"/>
    <s v="Employed"/>
    <s v="With Loan"/>
    <s v="Low-Risk"/>
  </r>
  <r>
    <s v="T000519"/>
    <s v="C2324"/>
    <s v="AC10797968"/>
    <x v="2"/>
    <x v="2"/>
    <x v="2"/>
    <x v="3"/>
    <n v="518.69000000000005"/>
    <x v="0"/>
    <n v="30413.79"/>
    <s v="Medium"/>
    <x v="4"/>
    <n v="51"/>
    <x v="2"/>
    <s v="Male"/>
    <s v="Credit"/>
    <x v="392"/>
    <s v="GBP"/>
    <x v="0"/>
    <n v="2.06E-2"/>
    <n v="2.06"/>
    <s v="low"/>
    <n v="34978.68"/>
    <n v="720.56080800000007"/>
    <n v="13"/>
    <n v="619"/>
    <x v="2"/>
    <n v="1"/>
    <s v="Default"/>
    <n v="2"/>
    <n v="2436.27"/>
    <s v="Low Income"/>
    <s v="Unemployed"/>
    <s v="With Loan"/>
    <s v="Low-Risk"/>
  </r>
  <r>
    <s v="T000520"/>
    <s v="C4141"/>
    <s v="AC68224509"/>
    <x v="354"/>
    <x v="14"/>
    <x v="4"/>
    <x v="2"/>
    <n v="5689.83"/>
    <x v="1"/>
    <n v="3622.21"/>
    <s v="Low"/>
    <x v="3"/>
    <n v="41"/>
    <x v="1"/>
    <s v="Male"/>
    <s v="Credit"/>
    <x v="32"/>
    <s v="EUR"/>
    <x v="0"/>
    <n v="3.8199999999999998E-2"/>
    <n v="3.82"/>
    <s v="low"/>
    <n v="26681.654999999999"/>
    <n v="1019.2392209999999"/>
    <n v="4"/>
    <n v="459"/>
    <x v="0"/>
    <n v="1"/>
    <s v="Default"/>
    <n v="1"/>
    <n v="8278.39"/>
    <s v="High Income"/>
    <s v="Self-employed"/>
    <s v="Without Loan"/>
    <s v="Low-Risk"/>
  </r>
  <r>
    <s v="T000521"/>
    <s v="C8419"/>
    <s v="AC65940773"/>
    <x v="355"/>
    <x v="15"/>
    <x v="11"/>
    <x v="0"/>
    <n v="9308.69"/>
    <x v="1"/>
    <n v="19449.98"/>
    <s v="Medium"/>
    <x v="4"/>
    <n v="66"/>
    <x v="3"/>
    <s v="Female"/>
    <s v="Checking"/>
    <x v="74"/>
    <s v="USD"/>
    <x v="0"/>
    <n v="4.2099999999999999E-2"/>
    <n v="4.21"/>
    <s v="high"/>
    <n v="26681.654999999999"/>
    <n v="1123.2976755"/>
    <n v="13"/>
    <n v="791"/>
    <x v="4"/>
    <n v="1"/>
    <s v="Default"/>
    <n v="4"/>
    <n v="5876.56"/>
    <s v="High Income"/>
    <s v="Unemployed"/>
    <s v="Without Loan"/>
    <s v="Low-Risk"/>
  </r>
  <r>
    <s v="T000522"/>
    <s v="C4486"/>
    <s v="AC39163439"/>
    <x v="356"/>
    <x v="4"/>
    <x v="9"/>
    <x v="2"/>
    <n v="8458.06"/>
    <x v="1"/>
    <n v="12370.73"/>
    <s v="Medium"/>
    <x v="3"/>
    <n v="43"/>
    <x v="1"/>
    <s v="Female"/>
    <s v="Credit"/>
    <x v="393"/>
    <s v="GBP"/>
    <x v="2"/>
    <n v="1.9599999999999999E-2"/>
    <n v="1.96"/>
    <s v="low"/>
    <n v="46871.49"/>
    <n v="918.68120399999998"/>
    <n v="13"/>
    <n v="612"/>
    <x v="2"/>
    <n v="2"/>
    <s v="Good"/>
    <n v="2"/>
    <n v="12986.39"/>
    <s v="High Income"/>
    <s v="Unemployed"/>
    <s v="With Loan"/>
    <s v="Low-Risk"/>
  </r>
  <r>
    <s v="T000523"/>
    <s v="C2810"/>
    <s v="AC29651515"/>
    <x v="357"/>
    <x v="13"/>
    <x v="6"/>
    <x v="1"/>
    <n v="6790.89"/>
    <x v="1"/>
    <n v="14003.14"/>
    <s v="Medium"/>
    <x v="3"/>
    <n v="33"/>
    <x v="0"/>
    <s v="Male"/>
    <s v="Checking"/>
    <x v="394"/>
    <s v="EUR"/>
    <x v="0"/>
    <n v="1.17E-2"/>
    <n v="1.17"/>
    <s v="low"/>
    <n v="26681.654999999999"/>
    <n v="312.1753635"/>
    <n v="7"/>
    <n v="460"/>
    <x v="0"/>
    <n v="1"/>
    <s v="Default"/>
    <n v="1"/>
    <n v="9828.01"/>
    <s v="High Income"/>
    <s v="Self-employed"/>
    <s v="Without Loan"/>
    <s v="Low-Risk"/>
  </r>
  <r>
    <s v="T000524"/>
    <s v="C7588"/>
    <s v="AC17339838"/>
    <x v="358"/>
    <x v="24"/>
    <x v="7"/>
    <x v="2"/>
    <n v="1477.25"/>
    <x v="0"/>
    <n v="28162.54"/>
    <s v="Medium"/>
    <x v="2"/>
    <n v="64"/>
    <x v="3"/>
    <s v="Female"/>
    <s v="Savings"/>
    <x v="395"/>
    <s v="GBP"/>
    <x v="1"/>
    <n v="3.5000000000000003E-2"/>
    <n v="3.5000000000000003E-2"/>
    <s v="low"/>
    <n v="41045.370000000003"/>
    <n v="1436.5879500000003"/>
    <n v="14"/>
    <n v="607"/>
    <x v="2"/>
    <n v="0"/>
    <s v="Good"/>
    <n v="2"/>
    <n v="7901.13"/>
    <s v="High Income"/>
    <s v="Unemployed"/>
    <s v="With Loan"/>
    <s v="Low-Risk"/>
  </r>
  <r>
    <s v="T000525"/>
    <s v="C3923"/>
    <s v="AC93629045"/>
    <x v="335"/>
    <x v="1"/>
    <x v="2"/>
    <x v="2"/>
    <n v="2616.89"/>
    <x v="1"/>
    <n v="10775.76"/>
    <s v="Medium"/>
    <x v="4"/>
    <n v="30"/>
    <x v="0"/>
    <s v="Male"/>
    <s v="Credit"/>
    <x v="396"/>
    <s v="USD"/>
    <x v="1"/>
    <n v="3.2500000000000001E-2"/>
    <n v="3.25"/>
    <s v="low"/>
    <n v="26681.654999999999"/>
    <n v="867.15378750000002"/>
    <n v="27"/>
    <n v="445"/>
    <x v="0"/>
    <n v="0"/>
    <s v="Good"/>
    <n v="1"/>
    <n v="7303.16"/>
    <s v="High Income"/>
    <s v="Employed"/>
    <s v="Without Loan"/>
    <s v="Low-Risk"/>
  </r>
  <r>
    <s v="T000526"/>
    <s v="C6301"/>
    <s v="AC67661940"/>
    <x v="229"/>
    <x v="16"/>
    <x v="7"/>
    <x v="2"/>
    <n v="8767.56"/>
    <x v="1"/>
    <n v="15403.51"/>
    <s v="Medium"/>
    <x v="3"/>
    <n v="32"/>
    <x v="0"/>
    <s v="Female"/>
    <s v="Savings"/>
    <x v="397"/>
    <s v="GBP"/>
    <x v="0"/>
    <n v="2.6100000000000002E-2"/>
    <n v="2.61"/>
    <s v="low"/>
    <n v="14548.12"/>
    <n v="379.70593200000002"/>
    <n v="13"/>
    <n v="695"/>
    <x v="3"/>
    <n v="1"/>
    <s v="Default"/>
    <n v="3"/>
    <n v="8464.19"/>
    <s v="High Income"/>
    <s v="Employed"/>
    <s v="With Loan"/>
    <s v="Low-Risk"/>
  </r>
  <r>
    <s v="T000527"/>
    <s v="C5186"/>
    <s v="AC91576052"/>
    <x v="359"/>
    <x v="11"/>
    <x v="6"/>
    <x v="2"/>
    <n v="1909.79"/>
    <x v="1"/>
    <n v="12617.15"/>
    <s v="Medium"/>
    <x v="2"/>
    <n v="44"/>
    <x v="1"/>
    <s v="Female"/>
    <s v="Credit"/>
    <x v="144"/>
    <s v="USD"/>
    <x v="2"/>
    <n v="3.5799999999999998E-2"/>
    <n v="3.58"/>
    <s v="low"/>
    <n v="46005.59"/>
    <n v="1647.0001219999997"/>
    <n v="13"/>
    <n v="388"/>
    <x v="0"/>
    <n v="2"/>
    <s v="Good"/>
    <n v="1"/>
    <n v="2525.6999999999998"/>
    <s v="Low Income"/>
    <s v="Employed"/>
    <s v="With Loan"/>
    <s v="High-Risk"/>
  </r>
  <r>
    <s v="T000528"/>
    <s v="C9905"/>
    <s v="AC80047063"/>
    <x v="142"/>
    <x v="12"/>
    <x v="2"/>
    <x v="0"/>
    <n v="2856.55"/>
    <x v="0"/>
    <n v="47476.639999999999"/>
    <s v="Medium"/>
    <x v="0"/>
    <n v="21"/>
    <x v="4"/>
    <s v="Female"/>
    <s v="Checking"/>
    <x v="398"/>
    <s v="EUR"/>
    <x v="2"/>
    <n v="3.2000000000000001E-2"/>
    <n v="3.2000000000000001E-2"/>
    <s v="low"/>
    <n v="26681.654999999999"/>
    <n v="853.81295999999998"/>
    <n v="13"/>
    <n v="607"/>
    <x v="2"/>
    <n v="2"/>
    <s v="Good"/>
    <n v="2"/>
    <n v="13606.31"/>
    <s v="High Income"/>
    <s v="Self-employed"/>
    <s v="Without Loan"/>
    <s v="Low-Risk"/>
  </r>
  <r>
    <s v="T000529"/>
    <s v="C6977"/>
    <s v="AC77007551"/>
    <x v="360"/>
    <x v="5"/>
    <x v="10"/>
    <x v="0"/>
    <n v="1383.05"/>
    <x v="0"/>
    <n v="47288.62"/>
    <s v="Medium"/>
    <x v="2"/>
    <n v="33"/>
    <x v="0"/>
    <s v="Male"/>
    <s v="Checking"/>
    <x v="399"/>
    <s v="EUR"/>
    <x v="2"/>
    <n v="0.02"/>
    <n v="0.02"/>
    <s v="low"/>
    <n v="27390.880000000001"/>
    <n v="547.81760000000008"/>
    <n v="1"/>
    <n v="845"/>
    <x v="1"/>
    <n v="2"/>
    <s v="Good"/>
    <n v="5"/>
    <n v="14977.94"/>
    <s v="High Income"/>
    <s v="Unemployed"/>
    <s v="With Loan"/>
    <s v="Low-Risk"/>
  </r>
  <r>
    <s v="T000530"/>
    <s v="C5268"/>
    <s v="AC86107468"/>
    <x v="361"/>
    <x v="14"/>
    <x v="6"/>
    <x v="3"/>
    <n v="6793.47"/>
    <x v="0"/>
    <n v="30887.14"/>
    <s v="Medium"/>
    <x v="2"/>
    <n v="47"/>
    <x v="2"/>
    <s v="Male"/>
    <s v="Checking"/>
    <x v="400"/>
    <s v="GBP"/>
    <x v="0"/>
    <n v="2.5899999999999999E-2"/>
    <n v="2.59"/>
    <s v="low"/>
    <n v="26681.654999999999"/>
    <n v="691.05486450000001"/>
    <n v="20"/>
    <n v="670"/>
    <x v="3"/>
    <n v="1"/>
    <s v="Default"/>
    <n v="3"/>
    <n v="4359.33"/>
    <s v="Middle Income"/>
    <s v="Unemployed"/>
    <s v="Without Loan"/>
    <s v="Low-Risk"/>
  </r>
  <r>
    <s v="T000531"/>
    <s v="C5748"/>
    <s v="AC59909831"/>
    <x v="362"/>
    <x v="24"/>
    <x v="9"/>
    <x v="1"/>
    <n v="9445.42"/>
    <x v="0"/>
    <n v="46301.599999999999"/>
    <s v="Medium"/>
    <x v="3"/>
    <n v="61"/>
    <x v="3"/>
    <s v="Female"/>
    <s v="Savings"/>
    <x v="401"/>
    <s v="USD"/>
    <x v="0"/>
    <n v="2.7099999999999999E-2"/>
    <n v="2.71"/>
    <s v="low"/>
    <n v="26681.654999999999"/>
    <n v="723.07285049999996"/>
    <n v="4"/>
    <n v="750"/>
    <x v="4"/>
    <n v="1"/>
    <s v="Default"/>
    <n v="4"/>
    <n v="3564.98"/>
    <s v="Middle Income"/>
    <s v="Unemployed"/>
    <s v="Without Loan"/>
    <s v="Low-Risk"/>
  </r>
  <r>
    <s v="T000532"/>
    <s v="C5849"/>
    <s v="AC52721553"/>
    <x v="363"/>
    <x v="14"/>
    <x v="5"/>
    <x v="2"/>
    <n v="2762.78"/>
    <x v="0"/>
    <n v="39504.82"/>
    <s v="Medium"/>
    <x v="1"/>
    <n v="47"/>
    <x v="2"/>
    <s v="Male"/>
    <s v="Credit"/>
    <x v="101"/>
    <s v="USD"/>
    <x v="1"/>
    <n v="4.5199999999999997E-2"/>
    <n v="4.5199999999999996"/>
    <s v="high"/>
    <n v="26681.654999999999"/>
    <n v="1206.0108059999998"/>
    <n v="1"/>
    <n v="466"/>
    <x v="0"/>
    <n v="0"/>
    <s v="Good"/>
    <n v="1"/>
    <n v="3866.51"/>
    <s v="Middle Income"/>
    <s v="Unemployed"/>
    <s v="Without Loan"/>
    <s v="Low-Risk"/>
  </r>
  <r>
    <s v="T000533"/>
    <s v="C4709"/>
    <s v="AC85134271"/>
    <x v="364"/>
    <x v="11"/>
    <x v="7"/>
    <x v="3"/>
    <n v="4806.53"/>
    <x v="0"/>
    <n v="29907.45"/>
    <s v="Medium"/>
    <x v="1"/>
    <n v="53"/>
    <x v="2"/>
    <s v="Male"/>
    <s v="Savings"/>
    <x v="365"/>
    <s v="USD"/>
    <x v="2"/>
    <n v="4.8399999999999999E-2"/>
    <n v="4.84"/>
    <s v="high"/>
    <n v="6069.95"/>
    <n v="293.78557999999998"/>
    <n v="22"/>
    <n v="691"/>
    <x v="3"/>
    <n v="2"/>
    <s v="Good"/>
    <n v="3"/>
    <n v="10593.35"/>
    <s v="High Income"/>
    <s v="Employed"/>
    <s v="With Loan"/>
    <s v="Low-Risk"/>
  </r>
  <r>
    <s v="T000534"/>
    <s v="C7619"/>
    <s v="AC98240465"/>
    <x v="90"/>
    <x v="15"/>
    <x v="5"/>
    <x v="3"/>
    <n v="6379.96"/>
    <x v="1"/>
    <n v="1315.33"/>
    <s v="Low"/>
    <x v="1"/>
    <n v="20"/>
    <x v="4"/>
    <s v="Female"/>
    <s v="Checking"/>
    <x v="402"/>
    <s v="GBP"/>
    <x v="1"/>
    <n v="4.5699999999999998E-2"/>
    <n v="4.57"/>
    <s v="high"/>
    <n v="22861.040000000001"/>
    <n v="1044.7495280000001"/>
    <n v="10"/>
    <n v="790"/>
    <x v="4"/>
    <n v="0"/>
    <s v="Good"/>
    <n v="4"/>
    <n v="10598.73"/>
    <s v="High Income"/>
    <s v="Self-employed"/>
    <s v="With Loan"/>
    <s v="Low-Risk"/>
  </r>
  <r>
    <s v="T000535"/>
    <s v="C9647"/>
    <s v="AC58055661"/>
    <x v="364"/>
    <x v="11"/>
    <x v="7"/>
    <x v="3"/>
    <n v="9994.7199999999993"/>
    <x v="0"/>
    <n v="38853.300000000003"/>
    <s v="Medium"/>
    <x v="2"/>
    <n v="39"/>
    <x v="1"/>
    <s v="Male"/>
    <s v="Savings"/>
    <x v="403"/>
    <s v="USD"/>
    <x v="1"/>
    <n v="3.8800000000000001E-2"/>
    <n v="3.88"/>
    <s v="low"/>
    <n v="18651.650000000001"/>
    <n v="723.68402000000003"/>
    <n v="13"/>
    <n v="449"/>
    <x v="0"/>
    <n v="0"/>
    <s v="Good"/>
    <n v="1"/>
    <n v="13023.01"/>
    <s v="High Income"/>
    <s v="Employed"/>
    <s v="With Loan"/>
    <s v="Low-Risk"/>
  </r>
  <r>
    <s v="T000536"/>
    <s v="C4072"/>
    <s v="AC35554414"/>
    <x v="324"/>
    <x v="7"/>
    <x v="9"/>
    <x v="0"/>
    <n v="1137.5999999999999"/>
    <x v="0"/>
    <n v="35421.93"/>
    <s v="Medium"/>
    <x v="3"/>
    <n v="66"/>
    <x v="3"/>
    <s v="Female"/>
    <s v="Checking"/>
    <x v="404"/>
    <s v="USD"/>
    <x v="2"/>
    <n v="3.3399999999999999E-2"/>
    <n v="3.34"/>
    <s v="low"/>
    <n v="26681.654999999999"/>
    <n v="891.1672769999999"/>
    <n v="13"/>
    <n v="767"/>
    <x v="4"/>
    <n v="2"/>
    <s v="Good"/>
    <n v="4"/>
    <n v="11773.74"/>
    <s v="High Income"/>
    <s v="Employed"/>
    <s v="Without Loan"/>
    <s v="Low-Risk"/>
  </r>
  <r>
    <s v="T000537"/>
    <s v="C7530"/>
    <s v="AC36931806"/>
    <x v="365"/>
    <x v="2"/>
    <x v="3"/>
    <x v="2"/>
    <n v="5035.8500000000004"/>
    <x v="0"/>
    <n v="31147.43"/>
    <s v="Medium"/>
    <x v="4"/>
    <n v="39"/>
    <x v="1"/>
    <s v="Female"/>
    <s v="Checking"/>
    <x v="87"/>
    <s v="USD"/>
    <x v="0"/>
    <n v="3.7600000000000001E-2"/>
    <n v="3.76"/>
    <s v="low"/>
    <n v="7501.04"/>
    <n v="282.03910400000001"/>
    <n v="13"/>
    <n v="342"/>
    <x v="0"/>
    <n v="1"/>
    <s v="Default"/>
    <n v="1"/>
    <n v="7845.97"/>
    <s v="High Income"/>
    <s v="Self-employed"/>
    <s v="With Loan"/>
    <s v="Low-Risk"/>
  </r>
  <r>
    <s v="T000538"/>
    <s v="C1504"/>
    <s v="AC23476005"/>
    <x v="108"/>
    <x v="7"/>
    <x v="2"/>
    <x v="2"/>
    <n v="3912.69"/>
    <x v="0"/>
    <n v="38260.79"/>
    <s v="Medium"/>
    <x v="2"/>
    <n v="67"/>
    <x v="3"/>
    <s v="Female"/>
    <s v="Checking"/>
    <x v="313"/>
    <s v="USD"/>
    <x v="0"/>
    <n v="4.7600000000000003E-2"/>
    <n v="4.76"/>
    <s v="high"/>
    <n v="26992.91"/>
    <n v="1284.8625160000001"/>
    <n v="24"/>
    <n v="328"/>
    <x v="0"/>
    <n v="1"/>
    <s v="Default"/>
    <n v="1"/>
    <n v="9967.1200000000008"/>
    <s v="High Income"/>
    <s v="Self-employed"/>
    <s v="With Loan"/>
    <s v="Low-Risk"/>
  </r>
  <r>
    <s v="T000539"/>
    <s v="C2214"/>
    <s v="AC54721695"/>
    <x v="97"/>
    <x v="20"/>
    <x v="3"/>
    <x v="1"/>
    <n v="8671.6200000000008"/>
    <x v="0"/>
    <n v="26133.19"/>
    <s v="Medium"/>
    <x v="2"/>
    <n v="67"/>
    <x v="3"/>
    <s v="Male"/>
    <s v="Credit"/>
    <x v="334"/>
    <s v="GBP"/>
    <x v="1"/>
    <n v="0.02"/>
    <n v="0.02"/>
    <s v="low"/>
    <n v="31060.14"/>
    <n v="621.20280000000002"/>
    <n v="13"/>
    <n v="330"/>
    <x v="0"/>
    <n v="0"/>
    <s v="Good"/>
    <n v="1"/>
    <n v="10947.7"/>
    <s v="High Income"/>
    <s v="Employed"/>
    <s v="With Loan"/>
    <s v="Low-Risk"/>
  </r>
  <r>
    <s v="T000540"/>
    <s v="C2531"/>
    <s v="AC13151882"/>
    <x v="20"/>
    <x v="6"/>
    <x v="7"/>
    <x v="2"/>
    <n v="4812.08"/>
    <x v="0"/>
    <n v="35500.080000000002"/>
    <s v="Medium"/>
    <x v="3"/>
    <n v="66"/>
    <x v="3"/>
    <s v="Female"/>
    <s v="Credit"/>
    <x v="46"/>
    <s v="GBP"/>
    <x v="1"/>
    <n v="3.1399999999999997E-2"/>
    <n v="3.14"/>
    <s v="low"/>
    <n v="32778.1"/>
    <n v="1029.2323399999998"/>
    <n v="13"/>
    <n v="427"/>
    <x v="0"/>
    <n v="0"/>
    <s v="Good"/>
    <n v="1"/>
    <n v="8665.57"/>
    <s v="High Income"/>
    <s v="Unemployed"/>
    <s v="With Loan"/>
    <s v="Low-Risk"/>
  </r>
  <r>
    <s v="T000541"/>
    <s v="C8576"/>
    <s v="AC42134444"/>
    <x v="66"/>
    <x v="22"/>
    <x v="2"/>
    <x v="2"/>
    <n v="1198.68"/>
    <x v="0"/>
    <n v="46823.43"/>
    <s v="Medium"/>
    <x v="0"/>
    <n v="29"/>
    <x v="0"/>
    <s v="Female"/>
    <s v="Checking"/>
    <x v="405"/>
    <s v="USD"/>
    <x v="1"/>
    <n v="3.7600000000000001E-2"/>
    <n v="3.76"/>
    <s v="low"/>
    <n v="26681.654999999999"/>
    <n v="1003.230228"/>
    <n v="13"/>
    <n v="593"/>
    <x v="2"/>
    <n v="0"/>
    <s v="Good"/>
    <n v="2"/>
    <n v="8183.46"/>
    <s v="High Income"/>
    <s v="Self-employed"/>
    <s v="Without Loan"/>
    <s v="Low-Risk"/>
  </r>
  <r>
    <s v="T000542"/>
    <s v="C1823"/>
    <s v="AC40319320"/>
    <x v="23"/>
    <x v="15"/>
    <x v="9"/>
    <x v="3"/>
    <n v="6380.8"/>
    <x v="1"/>
    <n v="19414.45"/>
    <s v="Medium"/>
    <x v="2"/>
    <n v="38"/>
    <x v="1"/>
    <s v="Male"/>
    <s v="Savings"/>
    <x v="406"/>
    <s v="USD"/>
    <x v="1"/>
    <n v="3.7199999999999997E-2"/>
    <n v="3.72"/>
    <s v="low"/>
    <n v="18696.55"/>
    <n v="695.51165999999989"/>
    <n v="23"/>
    <n v="740"/>
    <x v="4"/>
    <n v="0"/>
    <s v="Good"/>
    <n v="4"/>
    <n v="10386.27"/>
    <s v="High Income"/>
    <s v="Self-employed"/>
    <s v="With Loan"/>
    <s v="Low-Risk"/>
  </r>
  <r>
    <s v="T000543"/>
    <s v="C1928"/>
    <s v="AC80318880"/>
    <x v="10"/>
    <x v="1"/>
    <x v="2"/>
    <x v="1"/>
    <n v="7730.73"/>
    <x v="0"/>
    <n v="35697.97"/>
    <s v="Medium"/>
    <x v="0"/>
    <n v="21"/>
    <x v="4"/>
    <s v="Male"/>
    <s v="Savings"/>
    <x v="407"/>
    <s v="EUR"/>
    <x v="2"/>
    <n v="2.01E-2"/>
    <n v="2.0099999999999998"/>
    <s v="low"/>
    <n v="26681.654999999999"/>
    <n v="536.3012655"/>
    <n v="9"/>
    <n v="687"/>
    <x v="3"/>
    <n v="2"/>
    <s v="Good"/>
    <n v="3"/>
    <n v="9247.17"/>
    <s v="High Income"/>
    <s v="Employed"/>
    <s v="Without Loan"/>
    <s v="Low-Risk"/>
  </r>
  <r>
    <s v="T000544"/>
    <s v="C6029"/>
    <s v="AC75062907"/>
    <x v="22"/>
    <x v="7"/>
    <x v="8"/>
    <x v="2"/>
    <n v="128.52000000000001"/>
    <x v="0"/>
    <n v="24308.7"/>
    <s v="Medium"/>
    <x v="0"/>
    <n v="48"/>
    <x v="2"/>
    <s v="Male"/>
    <s v="Credit"/>
    <x v="408"/>
    <s v="EUR"/>
    <x v="1"/>
    <n v="3.3500000000000002E-2"/>
    <n v="3.35"/>
    <s v="low"/>
    <n v="26681.654999999999"/>
    <n v="893.8354425"/>
    <n v="13"/>
    <n v="823"/>
    <x v="1"/>
    <n v="0"/>
    <s v="Good"/>
    <n v="5"/>
    <n v="10371.25"/>
    <s v="High Income"/>
    <s v="Unemployed"/>
    <s v="Without Loan"/>
    <s v="Low-Risk"/>
  </r>
  <r>
    <s v="T000545"/>
    <s v="C1133"/>
    <s v="AC16737320"/>
    <x v="287"/>
    <x v="22"/>
    <x v="0"/>
    <x v="0"/>
    <n v="8603.67"/>
    <x v="0"/>
    <n v="34045.58"/>
    <s v="Medium"/>
    <x v="1"/>
    <n v="61"/>
    <x v="3"/>
    <s v="Male"/>
    <s v="Checking"/>
    <x v="18"/>
    <s v="USD"/>
    <x v="1"/>
    <n v="4.1799999999999997E-2"/>
    <n v="4.18"/>
    <s v="high"/>
    <n v="26681.654999999999"/>
    <n v="1115.2931789999998"/>
    <n v="21"/>
    <n v="846"/>
    <x v="1"/>
    <n v="0"/>
    <s v="Good"/>
    <n v="5"/>
    <n v="9967.11"/>
    <s v="High Income"/>
    <s v="Self-employed"/>
    <s v="Without Loan"/>
    <s v="Low-Risk"/>
  </r>
  <r>
    <s v="T000546"/>
    <s v="C3105"/>
    <s v="AC45943815"/>
    <x v="366"/>
    <x v="28"/>
    <x v="8"/>
    <x v="2"/>
    <n v="1941.63"/>
    <x v="0"/>
    <n v="38381.769999999997"/>
    <s v="Medium"/>
    <x v="3"/>
    <n v="48"/>
    <x v="2"/>
    <s v="Female"/>
    <s v="Savings"/>
    <x v="409"/>
    <s v="USD"/>
    <x v="0"/>
    <n v="2.9000000000000001E-2"/>
    <n v="2.9000000000000001E-2"/>
    <s v="low"/>
    <n v="26681.654999999999"/>
    <n v="773.76799500000004"/>
    <n v="28"/>
    <n v="409"/>
    <x v="0"/>
    <n v="1"/>
    <s v="Default"/>
    <n v="1"/>
    <n v="11349.56"/>
    <s v="High Income"/>
    <s v="Employed"/>
    <s v="Without Loan"/>
    <s v="Low-Risk"/>
  </r>
  <r>
    <s v="T000547"/>
    <s v="C4627"/>
    <s v="AC33773962"/>
    <x v="350"/>
    <x v="6"/>
    <x v="4"/>
    <x v="3"/>
    <n v="5565.49"/>
    <x v="1"/>
    <n v="3227.17"/>
    <s v="Low"/>
    <x v="0"/>
    <n v="40"/>
    <x v="1"/>
    <s v="Male"/>
    <s v="Checking"/>
    <x v="240"/>
    <s v="EUR"/>
    <x v="0"/>
    <n v="4.1700000000000001E-2"/>
    <n v="4.17"/>
    <s v="high"/>
    <n v="37276.86"/>
    <n v="1554.445062"/>
    <n v="13"/>
    <n v="627"/>
    <x v="2"/>
    <n v="1"/>
    <s v="Default"/>
    <n v="2"/>
    <n v="10356.450000000001"/>
    <s v="High Income"/>
    <s v="Self-employed"/>
    <s v="With Loan"/>
    <s v="Low-Risk"/>
  </r>
  <r>
    <s v="T000548"/>
    <s v="C7316"/>
    <s v="AC60495701"/>
    <x v="367"/>
    <x v="5"/>
    <x v="9"/>
    <x v="0"/>
    <n v="4216.3999999999996"/>
    <x v="0"/>
    <n v="32683.42"/>
    <s v="Medium"/>
    <x v="3"/>
    <n v="37"/>
    <x v="1"/>
    <s v="Male"/>
    <s v="Savings"/>
    <x v="410"/>
    <s v="EUR"/>
    <x v="0"/>
    <n v="2.4400000000000002E-2"/>
    <n v="2.44"/>
    <s v="low"/>
    <n v="39407.839999999997"/>
    <n v="961.55129599999998"/>
    <n v="3"/>
    <n v="704"/>
    <x v="3"/>
    <n v="1"/>
    <s v="Default"/>
    <n v="3"/>
    <n v="8756.65"/>
    <s v="High Income"/>
    <s v="Unemployed"/>
    <s v="With Loan"/>
    <s v="Low-Risk"/>
  </r>
  <r>
    <s v="T000549"/>
    <s v="C2852"/>
    <s v="AC58018519"/>
    <x v="164"/>
    <x v="23"/>
    <x v="10"/>
    <x v="3"/>
    <n v="7224.57"/>
    <x v="1"/>
    <n v="12110.32"/>
    <s v="Medium"/>
    <x v="1"/>
    <n v="32"/>
    <x v="0"/>
    <s v="Male"/>
    <s v="Credit"/>
    <x v="336"/>
    <s v="USD"/>
    <x v="2"/>
    <n v="4.7600000000000003E-2"/>
    <n v="4.76"/>
    <s v="high"/>
    <n v="12555.64"/>
    <n v="597.64846399999999"/>
    <n v="13"/>
    <n v="544"/>
    <x v="0"/>
    <n v="2"/>
    <s v="Good"/>
    <n v="1"/>
    <n v="10863.36"/>
    <s v="High Income"/>
    <s v="Employed"/>
    <s v="With Loan"/>
    <s v="Low-Risk"/>
  </r>
  <r>
    <s v="T000550"/>
    <s v="C5910"/>
    <s v="AC99859624"/>
    <x v="82"/>
    <x v="16"/>
    <x v="4"/>
    <x v="2"/>
    <n v="3774.5"/>
    <x v="0"/>
    <n v="33831.589999999997"/>
    <s v="Medium"/>
    <x v="3"/>
    <n v="40"/>
    <x v="1"/>
    <s v="Male"/>
    <s v="Checking"/>
    <x v="411"/>
    <s v="GBP"/>
    <x v="2"/>
    <n v="3.1399999999999997E-2"/>
    <n v="3.14"/>
    <s v="low"/>
    <n v="26681.654999999999"/>
    <n v="837.80396699999994"/>
    <n v="4"/>
    <n v="462"/>
    <x v="0"/>
    <n v="2"/>
    <s v="Good"/>
    <n v="1"/>
    <n v="7843.27"/>
    <s v="High Income"/>
    <s v="Employed"/>
    <s v="Without Loan"/>
    <s v="Low-Risk"/>
  </r>
  <r>
    <s v="T000551"/>
    <s v="C5175"/>
    <s v="AC48836811"/>
    <x v="80"/>
    <x v="0"/>
    <x v="3"/>
    <x v="0"/>
    <n v="8710.66"/>
    <x v="0"/>
    <n v="23948.18"/>
    <s v="Medium"/>
    <x v="2"/>
    <n v="45"/>
    <x v="1"/>
    <s v="Female"/>
    <s v="Checking"/>
    <x v="412"/>
    <s v="GBP"/>
    <x v="0"/>
    <n v="3.3799999999999997E-2"/>
    <n v="3.38"/>
    <s v="low"/>
    <n v="26827.49"/>
    <n v="906.76916199999994"/>
    <n v="13"/>
    <n v="698"/>
    <x v="3"/>
    <n v="1"/>
    <s v="Default"/>
    <n v="3"/>
    <n v="5141.7299999999996"/>
    <s v="High Income"/>
    <s v="Unemployed"/>
    <s v="With Loan"/>
    <s v="Low-Risk"/>
  </r>
  <r>
    <s v="T000552"/>
    <s v="C6348"/>
    <s v="AC86934008"/>
    <x v="277"/>
    <x v="0"/>
    <x v="8"/>
    <x v="1"/>
    <n v="7331.91"/>
    <x v="0"/>
    <n v="38904.080000000002"/>
    <s v="Medium"/>
    <x v="0"/>
    <n v="33"/>
    <x v="0"/>
    <s v="Male"/>
    <s v="Savings"/>
    <x v="90"/>
    <s v="USD"/>
    <x v="0"/>
    <n v="1.1299999999999999E-2"/>
    <n v="1.1299999999999999"/>
    <s v="low"/>
    <n v="26681.654999999999"/>
    <n v="301.50270149999994"/>
    <n v="13"/>
    <n v="698"/>
    <x v="3"/>
    <n v="1"/>
    <s v="Default"/>
    <n v="3"/>
    <n v="2018.44"/>
    <s v="Low Income"/>
    <s v="Employed"/>
    <s v="Without Loan"/>
    <s v="Low-Risk"/>
  </r>
  <r>
    <s v="T000553"/>
    <s v="C7190"/>
    <s v="AC46097069"/>
    <x v="176"/>
    <x v="26"/>
    <x v="2"/>
    <x v="1"/>
    <n v="6512.36"/>
    <x v="1"/>
    <n v="7046.64"/>
    <s v="Low"/>
    <x v="3"/>
    <n v="54"/>
    <x v="2"/>
    <s v="Female"/>
    <s v="Savings"/>
    <x v="413"/>
    <s v="USD"/>
    <x v="1"/>
    <n v="1.6799999999999999E-2"/>
    <n v="1.68"/>
    <s v="low"/>
    <n v="28784.29"/>
    <n v="483.57607200000001"/>
    <n v="7"/>
    <n v="792"/>
    <x v="4"/>
    <n v="0"/>
    <s v="Good"/>
    <n v="4"/>
    <n v="9279.5300000000007"/>
    <s v="High Income"/>
    <s v="Unemployed"/>
    <s v="With Loan"/>
    <s v="Low-Risk"/>
  </r>
  <r>
    <s v="T000554"/>
    <s v="C2256"/>
    <s v="AC85142815"/>
    <x v="368"/>
    <x v="0"/>
    <x v="2"/>
    <x v="0"/>
    <n v="7982.78"/>
    <x v="0"/>
    <n v="31689.8"/>
    <s v="Medium"/>
    <x v="4"/>
    <n v="38"/>
    <x v="1"/>
    <s v="Male"/>
    <s v="Savings"/>
    <x v="95"/>
    <s v="EUR"/>
    <x v="1"/>
    <n v="3.5299999999999998E-2"/>
    <n v="3.53"/>
    <s v="low"/>
    <n v="18085.64"/>
    <n v="638.423092"/>
    <n v="26"/>
    <n v="538"/>
    <x v="0"/>
    <n v="0"/>
    <s v="Good"/>
    <n v="1"/>
    <n v="9678.52"/>
    <s v="High Income"/>
    <s v="Employed"/>
    <s v="With Loan"/>
    <s v="Low-Risk"/>
  </r>
  <r>
    <s v="T000555"/>
    <s v="C4376"/>
    <s v="AC88888398"/>
    <x v="251"/>
    <x v="28"/>
    <x v="4"/>
    <x v="0"/>
    <n v="7564.83"/>
    <x v="1"/>
    <n v="14645.07"/>
    <s v="Medium"/>
    <x v="3"/>
    <n v="32"/>
    <x v="0"/>
    <s v="Female"/>
    <s v="Checking"/>
    <x v="414"/>
    <s v="EUR"/>
    <x v="2"/>
    <n v="2.6800000000000001E-2"/>
    <n v="2.68"/>
    <s v="low"/>
    <n v="35937.589999999997"/>
    <n v="963.12741199999994"/>
    <n v="11"/>
    <n v="764"/>
    <x v="4"/>
    <n v="2"/>
    <s v="Good"/>
    <n v="4"/>
    <n v="14636.64"/>
    <s v="High Income"/>
    <s v="Unemployed"/>
    <s v="With Loan"/>
    <s v="Low-Risk"/>
  </r>
  <r>
    <s v="T000556"/>
    <s v="C6645"/>
    <s v="AC68438965"/>
    <x v="369"/>
    <x v="28"/>
    <x v="6"/>
    <x v="3"/>
    <n v="455.79"/>
    <x v="0"/>
    <n v="42796.12"/>
    <s v="Medium"/>
    <x v="0"/>
    <n v="34"/>
    <x v="0"/>
    <s v="Female"/>
    <s v="Credit"/>
    <x v="415"/>
    <s v="GBP"/>
    <x v="2"/>
    <n v="3.0300000000000001E-2"/>
    <n v="3.03"/>
    <s v="low"/>
    <n v="26681.654999999999"/>
    <n v="808.45414649999998"/>
    <n v="13"/>
    <n v="331"/>
    <x v="0"/>
    <n v="2"/>
    <s v="Good"/>
    <n v="1"/>
    <n v="6699.22"/>
    <s v="High Income"/>
    <s v="Self-employed"/>
    <s v="Without Loan"/>
    <s v="Low-Risk"/>
  </r>
  <r>
    <s v="T000557"/>
    <s v="C4486"/>
    <s v="AC74274067"/>
    <x v="370"/>
    <x v="1"/>
    <x v="9"/>
    <x v="0"/>
    <n v="4007.87"/>
    <x v="0"/>
    <n v="46490.79"/>
    <s v="Medium"/>
    <x v="1"/>
    <n v="67"/>
    <x v="3"/>
    <s v="Male"/>
    <s v="Credit"/>
    <x v="416"/>
    <s v="USD"/>
    <x v="1"/>
    <n v="1.2500000000000001E-2"/>
    <n v="1.25"/>
    <s v="low"/>
    <n v="25646.31"/>
    <n v="320.57887500000004"/>
    <n v="13"/>
    <n v="422"/>
    <x v="0"/>
    <n v="0"/>
    <s v="Good"/>
    <n v="1"/>
    <n v="7123.73"/>
    <s v="High Income"/>
    <s v="Self-employed"/>
    <s v="With Loan"/>
    <s v="Low-Risk"/>
  </r>
  <r>
    <s v="T000558"/>
    <s v="C4584"/>
    <s v="AC19734816"/>
    <x v="120"/>
    <x v="9"/>
    <x v="7"/>
    <x v="3"/>
    <n v="9314.99"/>
    <x v="0"/>
    <n v="49823.519999999997"/>
    <s v="Medium"/>
    <x v="1"/>
    <n v="54"/>
    <x v="2"/>
    <s v="Female"/>
    <s v="Savings"/>
    <x v="266"/>
    <s v="EUR"/>
    <x v="0"/>
    <n v="4.3400000000000001E-2"/>
    <n v="4.34"/>
    <s v="high"/>
    <n v="26681.654999999999"/>
    <n v="1157.983827"/>
    <n v="13"/>
    <n v="833"/>
    <x v="1"/>
    <n v="1"/>
    <s v="Default"/>
    <n v="5"/>
    <n v="4623.3900000000003"/>
    <s v="Middle Income"/>
    <s v="Self-employed"/>
    <s v="Without Loan"/>
    <s v="Low-Risk"/>
  </r>
  <r>
    <s v="T000559"/>
    <s v="C9053"/>
    <s v="AC51965471"/>
    <x v="366"/>
    <x v="28"/>
    <x v="8"/>
    <x v="2"/>
    <n v="1344.67"/>
    <x v="0"/>
    <n v="40004.36"/>
    <s v="Medium"/>
    <x v="0"/>
    <n v="30"/>
    <x v="0"/>
    <s v="Male"/>
    <s v="Credit"/>
    <x v="417"/>
    <s v="GBP"/>
    <x v="1"/>
    <n v="4.1399999999999999E-2"/>
    <n v="4.1399999999999997"/>
    <s v="high"/>
    <n v="26681.654999999999"/>
    <n v="1104.6205169999998"/>
    <n v="13"/>
    <n v="409"/>
    <x v="0"/>
    <n v="0"/>
    <s v="Good"/>
    <n v="1"/>
    <n v="2916.95"/>
    <s v="Low Income"/>
    <s v="Employed"/>
    <s v="Without Loan"/>
    <s v="Low-Risk"/>
  </r>
  <r>
    <s v="T000560"/>
    <s v="C4330"/>
    <s v="AC26052465"/>
    <x v="212"/>
    <x v="26"/>
    <x v="8"/>
    <x v="3"/>
    <n v="7397.26"/>
    <x v="0"/>
    <n v="37932.97"/>
    <s v="Medium"/>
    <x v="2"/>
    <n v="36"/>
    <x v="1"/>
    <s v="Female"/>
    <s v="Savings"/>
    <x v="261"/>
    <s v="GBP"/>
    <x v="2"/>
    <n v="1.7399999999999999E-2"/>
    <n v="1.74"/>
    <s v="low"/>
    <n v="26681.654999999999"/>
    <n v="464.26079699999997"/>
    <n v="13"/>
    <n v="570"/>
    <x v="0"/>
    <n v="2"/>
    <s v="Good"/>
    <n v="1"/>
    <n v="12046.46"/>
    <s v="High Income"/>
    <s v="Unemployed"/>
    <s v="Without Loan"/>
    <s v="Low-Risk"/>
  </r>
  <r>
    <s v="T000561"/>
    <s v="C3703"/>
    <s v="AC69963387"/>
    <x v="371"/>
    <x v="6"/>
    <x v="9"/>
    <x v="0"/>
    <n v="9748.4599999999991"/>
    <x v="1"/>
    <n v="11559.54"/>
    <s v="Medium"/>
    <x v="2"/>
    <n v="47"/>
    <x v="2"/>
    <s v="Female"/>
    <s v="Credit"/>
    <x v="57"/>
    <s v="GBP"/>
    <x v="2"/>
    <n v="3.5400000000000001E-2"/>
    <n v="3.54"/>
    <s v="low"/>
    <n v="19337.2"/>
    <n v="684.53688"/>
    <n v="13"/>
    <n v="679"/>
    <x v="3"/>
    <n v="2"/>
    <s v="Good"/>
    <n v="3"/>
    <n v="5245.85"/>
    <s v="High Income"/>
    <s v="Unemployed"/>
    <s v="With Loan"/>
    <s v="Low-Risk"/>
  </r>
  <r>
    <s v="T000562"/>
    <s v="C9662"/>
    <s v="AC52590048"/>
    <x v="372"/>
    <x v="24"/>
    <x v="6"/>
    <x v="0"/>
    <n v="616.77"/>
    <x v="1"/>
    <n v="17464.349999999999"/>
    <s v="Medium"/>
    <x v="1"/>
    <n v="62"/>
    <x v="3"/>
    <s v="Female"/>
    <s v="Checking"/>
    <x v="89"/>
    <s v="EUR"/>
    <x v="1"/>
    <n v="4.2700000000000002E-2"/>
    <n v="4.2699999999999996"/>
    <s v="high"/>
    <n v="45263.71"/>
    <n v="1932.760417"/>
    <n v="13"/>
    <n v="599"/>
    <x v="2"/>
    <n v="0"/>
    <s v="Good"/>
    <n v="2"/>
    <n v="9915.76"/>
    <s v="High Income"/>
    <s v="Self-employed"/>
    <s v="With Loan"/>
    <s v="High-Risk"/>
  </r>
  <r>
    <s v="T000563"/>
    <s v="C9120"/>
    <s v="AC86070913"/>
    <x v="373"/>
    <x v="17"/>
    <x v="4"/>
    <x v="2"/>
    <n v="6853.72"/>
    <x v="0"/>
    <n v="23818.44"/>
    <s v="Medium"/>
    <x v="1"/>
    <n v="35"/>
    <x v="0"/>
    <s v="Male"/>
    <s v="Savings"/>
    <x v="418"/>
    <s v="EUR"/>
    <x v="1"/>
    <n v="3.56E-2"/>
    <n v="3.56"/>
    <s v="low"/>
    <n v="26681.654999999999"/>
    <n v="949.86691799999994"/>
    <n v="10"/>
    <n v="548"/>
    <x v="0"/>
    <n v="0"/>
    <s v="Good"/>
    <n v="1"/>
    <n v="10941.05"/>
    <s v="High Income"/>
    <s v="Self-employed"/>
    <s v="Without Loan"/>
    <s v="Low-Risk"/>
  </r>
  <r>
    <s v="T000564"/>
    <s v="C8114"/>
    <s v="AC22851424"/>
    <x v="374"/>
    <x v="8"/>
    <x v="6"/>
    <x v="0"/>
    <n v="4734.7299999999996"/>
    <x v="0"/>
    <n v="38895.67"/>
    <s v="Medium"/>
    <x v="0"/>
    <n v="31"/>
    <x v="0"/>
    <s v="Female"/>
    <s v="Credit"/>
    <x v="73"/>
    <s v="USD"/>
    <x v="1"/>
    <n v="2.24E-2"/>
    <n v="2.2400000000000002"/>
    <s v="low"/>
    <n v="26681.654999999999"/>
    <n v="597.66907199999991"/>
    <n v="13"/>
    <n v="820"/>
    <x v="1"/>
    <n v="0"/>
    <s v="Good"/>
    <n v="5"/>
    <n v="8126.08"/>
    <s v="High Income"/>
    <s v="Self-employed"/>
    <s v="Without Loan"/>
    <s v="Low-Risk"/>
  </r>
  <r>
    <s v="T000565"/>
    <s v="C2353"/>
    <s v="AC42356072"/>
    <x v="264"/>
    <x v="30"/>
    <x v="0"/>
    <x v="0"/>
    <n v="5833.84"/>
    <x v="0"/>
    <n v="45833.33"/>
    <s v="Medium"/>
    <x v="2"/>
    <n v="53"/>
    <x v="2"/>
    <s v="Male"/>
    <s v="Checking"/>
    <x v="335"/>
    <s v="USD"/>
    <x v="2"/>
    <n v="3.6200000000000003E-2"/>
    <n v="3.62"/>
    <s v="low"/>
    <n v="26681.654999999999"/>
    <n v="965.87591100000009"/>
    <n v="13"/>
    <n v="333"/>
    <x v="0"/>
    <n v="2"/>
    <s v="Good"/>
    <n v="1"/>
    <n v="13392.58"/>
    <s v="High Income"/>
    <s v="Unemployed"/>
    <s v="Without Loan"/>
    <s v="Low-Risk"/>
  </r>
  <r>
    <s v="T000566"/>
    <s v="C6063"/>
    <s v="AC39536204"/>
    <x v="375"/>
    <x v="30"/>
    <x v="5"/>
    <x v="1"/>
    <n v="944.88"/>
    <x v="1"/>
    <n v="10267.82"/>
    <s v="Medium"/>
    <x v="1"/>
    <n v="53"/>
    <x v="2"/>
    <s v="Female"/>
    <s v="Credit"/>
    <x v="257"/>
    <s v="GBP"/>
    <x v="0"/>
    <n v="1.84E-2"/>
    <n v="1.84"/>
    <s v="low"/>
    <n v="26681.654999999999"/>
    <n v="490.94245199999995"/>
    <n v="13"/>
    <n v="527"/>
    <x v="0"/>
    <n v="1"/>
    <s v="Default"/>
    <n v="1"/>
    <n v="7769.33"/>
    <s v="High Income"/>
    <s v="Self-employed"/>
    <s v="Without Loan"/>
    <s v="Low-Risk"/>
  </r>
  <r>
    <s v="T000567"/>
    <s v="C9549"/>
    <s v="AC95936029"/>
    <x v="376"/>
    <x v="27"/>
    <x v="7"/>
    <x v="1"/>
    <n v="525.77"/>
    <x v="0"/>
    <n v="46196.01"/>
    <s v="Medium"/>
    <x v="2"/>
    <n v="37"/>
    <x v="1"/>
    <s v="Female"/>
    <s v="Checking"/>
    <x v="419"/>
    <s v="GBP"/>
    <x v="1"/>
    <n v="2.2700000000000001E-2"/>
    <n v="2.27"/>
    <s v="low"/>
    <n v="26681.654999999999"/>
    <n v="605.67356849999999"/>
    <n v="13"/>
    <n v="698"/>
    <x v="3"/>
    <n v="0"/>
    <s v="Good"/>
    <n v="3"/>
    <n v="5703.81"/>
    <s v="High Income"/>
    <s v="Employed"/>
    <s v="Without Loan"/>
    <s v="Low-Risk"/>
  </r>
  <r>
    <s v="T000568"/>
    <s v="C8575"/>
    <s v="AC18388512"/>
    <x v="11"/>
    <x v="5"/>
    <x v="3"/>
    <x v="2"/>
    <n v="6701.98"/>
    <x v="0"/>
    <n v="35085.61"/>
    <s v="Medium"/>
    <x v="1"/>
    <n v="69"/>
    <x v="3"/>
    <s v="Female"/>
    <s v="Checking"/>
    <x v="150"/>
    <s v="EUR"/>
    <x v="2"/>
    <n v="1.9599999999999999E-2"/>
    <n v="1.96"/>
    <s v="low"/>
    <n v="37878.660000000003"/>
    <n v="742.42173600000001"/>
    <n v="12"/>
    <n v="519"/>
    <x v="0"/>
    <n v="2"/>
    <s v="Good"/>
    <n v="1"/>
    <n v="13648.2"/>
    <s v="High Income"/>
    <s v="Self-employed"/>
    <s v="With Loan"/>
    <s v="High-Risk"/>
  </r>
  <r>
    <s v="T000569"/>
    <s v="C1667"/>
    <s v="AC61599948"/>
    <x v="13"/>
    <x v="7"/>
    <x v="4"/>
    <x v="3"/>
    <n v="8250.76"/>
    <x v="0"/>
    <n v="30927.77"/>
    <s v="Medium"/>
    <x v="3"/>
    <n v="36"/>
    <x v="1"/>
    <s v="Female"/>
    <s v="Credit"/>
    <x v="420"/>
    <s v="EUR"/>
    <x v="2"/>
    <n v="3.2300000000000002E-2"/>
    <n v="3.23"/>
    <s v="low"/>
    <n v="42463.78"/>
    <n v="1371.5800940000001"/>
    <n v="13"/>
    <n v="670"/>
    <x v="3"/>
    <n v="2"/>
    <s v="Good"/>
    <n v="3"/>
    <n v="13200.34"/>
    <s v="High Income"/>
    <s v="Self-employed"/>
    <s v="With Loan"/>
    <s v="Low-Risk"/>
  </r>
  <r>
    <s v="T000570"/>
    <s v="C5468"/>
    <s v="AC79056627"/>
    <x v="287"/>
    <x v="22"/>
    <x v="0"/>
    <x v="1"/>
    <n v="7841.95"/>
    <x v="1"/>
    <n v="10792.22"/>
    <s v="Medium"/>
    <x v="4"/>
    <n v="62"/>
    <x v="3"/>
    <s v="Female"/>
    <s v="Credit"/>
    <x v="421"/>
    <s v="USD"/>
    <x v="2"/>
    <n v="1.43E-2"/>
    <n v="1.43"/>
    <s v="low"/>
    <n v="37166.480000000003"/>
    <n v="531.48066400000005"/>
    <n v="13"/>
    <n v="827"/>
    <x v="1"/>
    <n v="2"/>
    <s v="Good"/>
    <n v="5"/>
    <n v="4132.5200000000004"/>
    <s v="Middle Income"/>
    <s v="Unemployed"/>
    <s v="With Loan"/>
    <s v="Low-Risk"/>
  </r>
  <r>
    <s v="T000571"/>
    <s v="C7819"/>
    <s v="AC70350105"/>
    <x v="290"/>
    <x v="27"/>
    <x v="5"/>
    <x v="3"/>
    <n v="5483.68"/>
    <x v="1"/>
    <n v="3720.73"/>
    <s v="Low"/>
    <x v="3"/>
    <n v="61"/>
    <x v="3"/>
    <s v="Female"/>
    <s v="Checking"/>
    <x v="422"/>
    <s v="USD"/>
    <x v="1"/>
    <n v="4.7300000000000002E-2"/>
    <n v="4.7300000000000004"/>
    <s v="high"/>
    <n v="26681.654999999999"/>
    <n v="1262.0422814999999"/>
    <n v="15"/>
    <n v="374"/>
    <x v="0"/>
    <n v="0"/>
    <s v="Good"/>
    <n v="1"/>
    <n v="2337.4899999999998"/>
    <s v="Low Income"/>
    <s v="Employed"/>
    <s v="Without Loan"/>
    <s v="Low-Risk"/>
  </r>
  <r>
    <s v="T000572"/>
    <s v="C4719"/>
    <s v="AC51208934"/>
    <x v="280"/>
    <x v="30"/>
    <x v="1"/>
    <x v="0"/>
    <n v="1088.68"/>
    <x v="0"/>
    <n v="28854.78"/>
    <s v="Medium"/>
    <x v="1"/>
    <n v="24"/>
    <x v="4"/>
    <s v="Male"/>
    <s v="Checking"/>
    <x v="423"/>
    <s v="USD"/>
    <x v="1"/>
    <n v="2.3300000000000001E-2"/>
    <n v="2.33"/>
    <s v="low"/>
    <n v="26681.654999999999"/>
    <n v="621.68256150000002"/>
    <n v="5"/>
    <n v="435"/>
    <x v="0"/>
    <n v="0"/>
    <s v="Good"/>
    <n v="1"/>
    <n v="3169.81"/>
    <s v="Middle Income"/>
    <s v="Unemployed"/>
    <s v="Without Loan"/>
    <s v="Low-Risk"/>
  </r>
  <r>
    <s v="T000573"/>
    <s v="C3745"/>
    <s v="AC43138881"/>
    <x v="292"/>
    <x v="11"/>
    <x v="8"/>
    <x v="1"/>
    <n v="6911.64"/>
    <x v="0"/>
    <n v="32924.269999999997"/>
    <s v="Medium"/>
    <x v="4"/>
    <n v="61"/>
    <x v="3"/>
    <s v="Male"/>
    <s v="Checking"/>
    <x v="424"/>
    <s v="EUR"/>
    <x v="0"/>
    <n v="1.8800000000000001E-2"/>
    <n v="1.88"/>
    <s v="low"/>
    <n v="37045.31"/>
    <n v="696.45182799999998"/>
    <n v="13"/>
    <n v="373"/>
    <x v="0"/>
    <n v="1"/>
    <s v="Default"/>
    <n v="1"/>
    <n v="5725.12"/>
    <s v="High Income"/>
    <s v="Employed"/>
    <s v="With Loan"/>
    <s v="High-Risk"/>
  </r>
  <r>
    <s v="T000574"/>
    <s v="C8483"/>
    <s v="AC47436581"/>
    <x v="208"/>
    <x v="14"/>
    <x v="2"/>
    <x v="2"/>
    <n v="2494.6999999999998"/>
    <x v="1"/>
    <n v="11328.29"/>
    <s v="Medium"/>
    <x v="4"/>
    <n v="21"/>
    <x v="4"/>
    <s v="Male"/>
    <s v="Savings"/>
    <x v="425"/>
    <s v="GBP"/>
    <x v="2"/>
    <n v="2.9899999999999999E-2"/>
    <n v="2.99"/>
    <s v="low"/>
    <n v="24020.91"/>
    <n v="718.22520899999995"/>
    <n v="13"/>
    <n v="553"/>
    <x v="0"/>
    <n v="2"/>
    <s v="Good"/>
    <n v="1"/>
    <n v="14639.38"/>
    <s v="High Income"/>
    <s v="Employed"/>
    <s v="With Loan"/>
    <s v="Low-Risk"/>
  </r>
  <r>
    <s v="T000575"/>
    <s v="C1539"/>
    <s v="AC31650278"/>
    <x v="227"/>
    <x v="20"/>
    <x v="0"/>
    <x v="2"/>
    <n v="9119.58"/>
    <x v="0"/>
    <n v="28266.35"/>
    <s v="Medium"/>
    <x v="1"/>
    <n v="51"/>
    <x v="2"/>
    <s v="Female"/>
    <s v="Checking"/>
    <x v="105"/>
    <s v="USD"/>
    <x v="1"/>
    <n v="2.1100000000000001E-2"/>
    <n v="2.11"/>
    <s v="low"/>
    <n v="26681.654999999999"/>
    <n v="562.98292049999998"/>
    <n v="13"/>
    <n v="317"/>
    <x v="0"/>
    <n v="0"/>
    <s v="Good"/>
    <n v="1"/>
    <n v="9260.7099999999991"/>
    <s v="High Income"/>
    <s v="Self-employed"/>
    <s v="Without Loan"/>
    <s v="Low-Risk"/>
  </r>
  <r>
    <s v="T000576"/>
    <s v="C5964"/>
    <s v="AC67376857"/>
    <x v="377"/>
    <x v="15"/>
    <x v="3"/>
    <x v="2"/>
    <n v="8398.83"/>
    <x v="0"/>
    <n v="42968.18"/>
    <s v="Medium"/>
    <x v="1"/>
    <n v="19"/>
    <x v="4"/>
    <s v="Male"/>
    <s v="Savings"/>
    <x v="426"/>
    <s v="USD"/>
    <x v="2"/>
    <n v="3.1399999999999997E-2"/>
    <n v="3.14"/>
    <s v="low"/>
    <n v="26681.654999999999"/>
    <n v="837.80396699999994"/>
    <n v="13"/>
    <n v="342"/>
    <x v="0"/>
    <n v="2"/>
    <s v="Good"/>
    <n v="1"/>
    <n v="6852.4"/>
    <s v="High Income"/>
    <s v="Self-employed"/>
    <s v="Without Loan"/>
    <s v="Low-Risk"/>
  </r>
  <r>
    <s v="T000577"/>
    <s v="C5835"/>
    <s v="AC18439469"/>
    <x v="218"/>
    <x v="3"/>
    <x v="11"/>
    <x v="1"/>
    <n v="7122.89"/>
    <x v="0"/>
    <n v="41918.230000000003"/>
    <s v="Medium"/>
    <x v="2"/>
    <n v="22"/>
    <x v="4"/>
    <s v="Female"/>
    <s v="Checking"/>
    <x v="427"/>
    <s v="EUR"/>
    <x v="2"/>
    <n v="2.3900000000000001E-2"/>
    <n v="2.39"/>
    <s v="low"/>
    <n v="26681.654999999999"/>
    <n v="637.69155450000005"/>
    <n v="13"/>
    <n v="349"/>
    <x v="0"/>
    <n v="2"/>
    <s v="Good"/>
    <n v="1"/>
    <n v="13553.31"/>
    <s v="High Income"/>
    <s v="Unemployed"/>
    <s v="Without Loan"/>
    <s v="Low-Risk"/>
  </r>
  <r>
    <s v="T000578"/>
    <s v="C4775"/>
    <s v="AC34455289"/>
    <x v="378"/>
    <x v="19"/>
    <x v="7"/>
    <x v="3"/>
    <n v="9493.57"/>
    <x v="0"/>
    <n v="46440.4"/>
    <s v="Medium"/>
    <x v="1"/>
    <n v="27"/>
    <x v="0"/>
    <s v="Male"/>
    <s v="Savings"/>
    <x v="78"/>
    <s v="USD"/>
    <x v="0"/>
    <n v="1.5299999999999999E-2"/>
    <n v="1.53"/>
    <s v="low"/>
    <n v="23606.3"/>
    <n v="361.17638999999997"/>
    <n v="13"/>
    <n v="814"/>
    <x v="1"/>
    <n v="1"/>
    <s v="Default"/>
    <n v="5"/>
    <n v="7890.77"/>
    <s v="High Income"/>
    <s v="Unemployed"/>
    <s v="With Loan"/>
    <s v="Low-Risk"/>
  </r>
  <r>
    <s v="T000579"/>
    <s v="C7042"/>
    <s v="AC93050481"/>
    <x v="375"/>
    <x v="30"/>
    <x v="5"/>
    <x v="0"/>
    <n v="411.08"/>
    <x v="1"/>
    <n v="18928.400000000001"/>
    <s v="Medium"/>
    <x v="0"/>
    <n v="49"/>
    <x v="2"/>
    <s v="Male"/>
    <s v="Checking"/>
    <x v="124"/>
    <s v="GBP"/>
    <x v="1"/>
    <n v="2.06E-2"/>
    <n v="2.06"/>
    <s v="low"/>
    <n v="26681.654999999999"/>
    <n v="549.64209299999993"/>
    <n v="28"/>
    <n v="602"/>
    <x v="2"/>
    <n v="0"/>
    <s v="Good"/>
    <n v="2"/>
    <n v="6098.1"/>
    <s v="High Income"/>
    <s v="Unemployed"/>
    <s v="Without Loan"/>
    <s v="Low-Risk"/>
  </r>
  <r>
    <s v="T000580"/>
    <s v="C8102"/>
    <s v="AC48400142"/>
    <x v="166"/>
    <x v="27"/>
    <x v="0"/>
    <x v="3"/>
    <n v="7388.38"/>
    <x v="1"/>
    <n v="16584.43"/>
    <s v="Medium"/>
    <x v="1"/>
    <n v="59"/>
    <x v="2"/>
    <s v="Female"/>
    <s v="Checking"/>
    <x v="7"/>
    <s v="EUR"/>
    <x v="1"/>
    <n v="2.75E-2"/>
    <n v="2.75"/>
    <s v="low"/>
    <n v="26681.654999999999"/>
    <n v="733.74551250000002"/>
    <n v="5"/>
    <n v="441"/>
    <x v="0"/>
    <n v="0"/>
    <s v="Good"/>
    <n v="1"/>
    <n v="14235.85"/>
    <s v="High Income"/>
    <s v="Employed"/>
    <s v="Without Loan"/>
    <s v="Low-Risk"/>
  </r>
  <r>
    <s v="T000581"/>
    <s v="C8312"/>
    <s v="AC64332385"/>
    <x v="59"/>
    <x v="14"/>
    <x v="8"/>
    <x v="3"/>
    <n v="3369.4"/>
    <x v="0"/>
    <n v="37721.870000000003"/>
    <s v="Medium"/>
    <x v="0"/>
    <n v="58"/>
    <x v="2"/>
    <s v="Female"/>
    <s v="Checking"/>
    <x v="428"/>
    <s v="USD"/>
    <x v="2"/>
    <n v="1.12E-2"/>
    <n v="1.1200000000000001"/>
    <s v="low"/>
    <n v="26681.654999999999"/>
    <n v="298.83453599999996"/>
    <n v="13"/>
    <n v="501"/>
    <x v="0"/>
    <n v="2"/>
    <s v="Good"/>
    <n v="1"/>
    <n v="13043.73"/>
    <s v="High Income"/>
    <s v="Unemployed"/>
    <s v="Without Loan"/>
    <s v="Low-Risk"/>
  </r>
  <r>
    <s v="T000582"/>
    <s v="C6320"/>
    <s v="AC52664041"/>
    <x v="219"/>
    <x v="11"/>
    <x v="9"/>
    <x v="0"/>
    <n v="9070.0499999999993"/>
    <x v="0"/>
    <n v="22124.51"/>
    <s v="Medium"/>
    <x v="1"/>
    <n v="30"/>
    <x v="0"/>
    <s v="Male"/>
    <s v="Credit"/>
    <x v="429"/>
    <s v="USD"/>
    <x v="2"/>
    <n v="4.0800000000000003E-2"/>
    <n v="4.08"/>
    <s v="high"/>
    <n v="8309.77"/>
    <n v="339.03861600000005"/>
    <n v="13"/>
    <n v="506"/>
    <x v="0"/>
    <n v="2"/>
    <s v="Good"/>
    <n v="1"/>
    <n v="12967.69"/>
    <s v="High Income"/>
    <s v="Employed"/>
    <s v="With Loan"/>
    <s v="Low-Risk"/>
  </r>
  <r>
    <s v="T000583"/>
    <s v="C7132"/>
    <s v="AC58243574"/>
    <x v="48"/>
    <x v="24"/>
    <x v="3"/>
    <x v="0"/>
    <n v="2740.08"/>
    <x v="1"/>
    <n v="5289.88"/>
    <s v="Low"/>
    <x v="2"/>
    <n v="56"/>
    <x v="2"/>
    <s v="Male"/>
    <s v="Credit"/>
    <x v="430"/>
    <s v="EUR"/>
    <x v="0"/>
    <n v="3.49E-2"/>
    <n v="3.49"/>
    <s v="low"/>
    <n v="26681.654999999999"/>
    <n v="931.18975949999992"/>
    <n v="13"/>
    <n v="714"/>
    <x v="3"/>
    <n v="1"/>
    <s v="Default"/>
    <n v="3"/>
    <n v="8659.7000000000007"/>
    <s v="High Income"/>
    <s v="Employed"/>
    <s v="Without Loan"/>
    <s v="Low-Risk"/>
  </r>
  <r>
    <s v="T000584"/>
    <s v="C8891"/>
    <s v="AC70711339"/>
    <x v="379"/>
    <x v="11"/>
    <x v="2"/>
    <x v="1"/>
    <n v="7276.08"/>
    <x v="1"/>
    <n v="14857.26"/>
    <s v="Medium"/>
    <x v="0"/>
    <n v="22"/>
    <x v="4"/>
    <s v="Male"/>
    <s v="Checking"/>
    <x v="431"/>
    <s v="EUR"/>
    <x v="0"/>
    <n v="3.4099999999999998E-2"/>
    <n v="3.41"/>
    <s v="low"/>
    <n v="38685.410000000003"/>
    <n v="1319.1724810000001"/>
    <n v="12"/>
    <n v="520"/>
    <x v="0"/>
    <n v="1"/>
    <s v="Default"/>
    <n v="1"/>
    <n v="12262.7"/>
    <s v="High Income"/>
    <s v="Employed"/>
    <s v="With Loan"/>
    <s v="High-Risk"/>
  </r>
  <r>
    <s v="T000585"/>
    <s v="C3779"/>
    <s v="AC56462256"/>
    <x v="160"/>
    <x v="3"/>
    <x v="3"/>
    <x v="1"/>
    <n v="8788.7099999999991"/>
    <x v="0"/>
    <n v="21510.53"/>
    <s v="Medium"/>
    <x v="3"/>
    <n v="27"/>
    <x v="0"/>
    <s v="Male"/>
    <s v="Savings"/>
    <x v="293"/>
    <s v="USD"/>
    <x v="0"/>
    <n v="3.1800000000000002E-2"/>
    <n v="3.18"/>
    <s v="low"/>
    <n v="26681.654999999999"/>
    <n v="848.476629"/>
    <n v="13"/>
    <n v="661"/>
    <x v="2"/>
    <n v="1"/>
    <s v="Default"/>
    <n v="2"/>
    <n v="4331.59"/>
    <s v="Middle Income"/>
    <s v="Employed"/>
    <s v="Without Loan"/>
    <s v="Low-Risk"/>
  </r>
  <r>
    <s v="T000586"/>
    <s v="C1924"/>
    <s v="AC70344167"/>
    <x v="164"/>
    <x v="23"/>
    <x v="10"/>
    <x v="1"/>
    <n v="512.4"/>
    <x v="1"/>
    <n v="15333.3"/>
    <s v="Medium"/>
    <x v="0"/>
    <n v="27"/>
    <x v="0"/>
    <s v="Female"/>
    <s v="Savings"/>
    <x v="57"/>
    <s v="GBP"/>
    <x v="0"/>
    <n v="3.3599999999999998E-2"/>
    <n v="3.36"/>
    <s v="low"/>
    <n v="26681.654999999999"/>
    <n v="896.50360799999987"/>
    <n v="27"/>
    <n v="380"/>
    <x v="0"/>
    <n v="1"/>
    <s v="Default"/>
    <n v="1"/>
    <n v="9451.9"/>
    <s v="High Income"/>
    <s v="Employed"/>
    <s v="Without Loan"/>
    <s v="Low-Risk"/>
  </r>
  <r>
    <s v="T000587"/>
    <s v="C2581"/>
    <s v="AC59092554"/>
    <x v="123"/>
    <x v="23"/>
    <x v="4"/>
    <x v="1"/>
    <n v="4036.71"/>
    <x v="1"/>
    <n v="17278.07"/>
    <s v="Medium"/>
    <x v="2"/>
    <n v="55"/>
    <x v="2"/>
    <s v="Male"/>
    <s v="Checking"/>
    <x v="360"/>
    <s v="EUR"/>
    <x v="0"/>
    <n v="4.7399999999999998E-2"/>
    <n v="4.74"/>
    <s v="high"/>
    <n v="30536.86"/>
    <n v="1447.4471639999999"/>
    <n v="5"/>
    <n v="584"/>
    <x v="2"/>
    <n v="1"/>
    <s v="Default"/>
    <n v="2"/>
    <n v="14790"/>
    <s v="High Income"/>
    <s v="Self-employed"/>
    <s v="With Loan"/>
    <s v="Low-Risk"/>
  </r>
  <r>
    <s v="T000588"/>
    <s v="C8714"/>
    <s v="AC91500098"/>
    <x v="380"/>
    <x v="0"/>
    <x v="6"/>
    <x v="1"/>
    <n v="7646.86"/>
    <x v="1"/>
    <n v="15395.02"/>
    <s v="Medium"/>
    <x v="0"/>
    <n v="44"/>
    <x v="1"/>
    <s v="Female"/>
    <s v="Credit"/>
    <x v="432"/>
    <s v="GBP"/>
    <x v="0"/>
    <n v="1.03E-2"/>
    <n v="1.03"/>
    <s v="low"/>
    <n v="26681.654999999999"/>
    <n v="274.82104649999997"/>
    <n v="13"/>
    <n v="668"/>
    <x v="2"/>
    <n v="1"/>
    <s v="Default"/>
    <n v="2"/>
    <n v="5782.46"/>
    <s v="High Income"/>
    <s v="Employed"/>
    <s v="Without Loan"/>
    <s v="Low-Risk"/>
  </r>
  <r>
    <s v="T000589"/>
    <s v="C4324"/>
    <s v="AC11443717"/>
    <x v="285"/>
    <x v="16"/>
    <x v="10"/>
    <x v="0"/>
    <n v="4603.7"/>
    <x v="1"/>
    <n v="3033.46"/>
    <s v="Low"/>
    <x v="1"/>
    <n v="68"/>
    <x v="3"/>
    <s v="Female"/>
    <s v="Savings"/>
    <x v="433"/>
    <s v="USD"/>
    <x v="2"/>
    <n v="1.1900000000000001E-2"/>
    <n v="1.19"/>
    <s v="low"/>
    <n v="31900.81"/>
    <n v="379.61963900000006"/>
    <n v="12"/>
    <n v="791"/>
    <x v="4"/>
    <n v="2"/>
    <s v="Good"/>
    <n v="4"/>
    <n v="12326.58"/>
    <s v="High Income"/>
    <s v="Employed"/>
    <s v="With Loan"/>
    <s v="Low-Risk"/>
  </r>
  <r>
    <s v="T000590"/>
    <s v="C6713"/>
    <s v="AC14409352"/>
    <x v="101"/>
    <x v="30"/>
    <x v="7"/>
    <x v="3"/>
    <n v="2745.8"/>
    <x v="0"/>
    <n v="32217.64"/>
    <s v="Medium"/>
    <x v="1"/>
    <n v="38"/>
    <x v="1"/>
    <s v="Male"/>
    <s v="Credit"/>
    <x v="434"/>
    <s v="GBP"/>
    <x v="0"/>
    <n v="1.77E-2"/>
    <n v="1.77"/>
    <s v="low"/>
    <n v="26681.654999999999"/>
    <n v="472.26529349999998"/>
    <n v="13"/>
    <n v="645"/>
    <x v="2"/>
    <n v="1"/>
    <s v="Default"/>
    <n v="2"/>
    <n v="8376.2199999999993"/>
    <s v="High Income"/>
    <s v="Self-employed"/>
    <s v="Without Loan"/>
    <s v="Low-Risk"/>
  </r>
  <r>
    <s v="T000591"/>
    <s v="C8026"/>
    <s v="AC98997222"/>
    <x v="381"/>
    <x v="27"/>
    <x v="11"/>
    <x v="1"/>
    <n v="2276.0700000000002"/>
    <x v="0"/>
    <n v="30267.33"/>
    <s v="Medium"/>
    <x v="2"/>
    <n v="25"/>
    <x v="4"/>
    <s v="Female"/>
    <s v="Savings"/>
    <x v="141"/>
    <s v="USD"/>
    <x v="2"/>
    <n v="1.67E-2"/>
    <n v="1.67"/>
    <s v="low"/>
    <n v="20879.48"/>
    <n v="348.68731600000001"/>
    <n v="2"/>
    <n v="503"/>
    <x v="0"/>
    <n v="2"/>
    <s v="Good"/>
    <n v="1"/>
    <n v="2517.4699999999998"/>
    <s v="Low Income"/>
    <s v="Self-employed"/>
    <s v="With Loan"/>
    <s v="Low-Risk"/>
  </r>
  <r>
    <s v="T000592"/>
    <s v="C1255"/>
    <s v="AC92438366"/>
    <x v="182"/>
    <x v="29"/>
    <x v="6"/>
    <x v="1"/>
    <n v="1402.03"/>
    <x v="0"/>
    <n v="33015.79"/>
    <s v="Medium"/>
    <x v="4"/>
    <n v="18"/>
    <x v="4"/>
    <s v="Male"/>
    <s v="Checking"/>
    <x v="435"/>
    <s v="USD"/>
    <x v="2"/>
    <n v="1.72E-2"/>
    <n v="1.72"/>
    <s v="low"/>
    <n v="26681.654999999999"/>
    <n v="458.924466"/>
    <n v="13"/>
    <n v="324"/>
    <x v="0"/>
    <n v="2"/>
    <s v="Good"/>
    <n v="1"/>
    <n v="11919.25"/>
    <s v="High Income"/>
    <s v="Self-employed"/>
    <s v="Without Loan"/>
    <s v="Low-Risk"/>
  </r>
  <r>
    <s v="T000593"/>
    <s v="C5804"/>
    <s v="AC53148703"/>
    <x v="382"/>
    <x v="22"/>
    <x v="8"/>
    <x v="3"/>
    <n v="8585.58"/>
    <x v="1"/>
    <n v="10423.18"/>
    <s v="Medium"/>
    <x v="1"/>
    <n v="45"/>
    <x v="1"/>
    <s v="Female"/>
    <s v="Credit"/>
    <x v="344"/>
    <s v="USD"/>
    <x v="1"/>
    <n v="3.6900000000000002E-2"/>
    <n v="3.69"/>
    <s v="low"/>
    <n v="46608.52"/>
    <n v="1719.854388"/>
    <n v="13"/>
    <n v="368"/>
    <x v="0"/>
    <n v="0"/>
    <s v="Good"/>
    <n v="1"/>
    <n v="4191.3999999999996"/>
    <s v="Middle Income"/>
    <s v="Unemployed"/>
    <s v="With Loan"/>
    <s v="High-Risk"/>
  </r>
  <r>
    <s v="T000594"/>
    <s v="C2838"/>
    <s v="AC85530792"/>
    <x v="383"/>
    <x v="13"/>
    <x v="8"/>
    <x v="1"/>
    <n v="5796.02"/>
    <x v="1"/>
    <n v="15487.07"/>
    <s v="Medium"/>
    <x v="3"/>
    <n v="66"/>
    <x v="3"/>
    <s v="Female"/>
    <s v="Savings"/>
    <x v="436"/>
    <s v="USD"/>
    <x v="2"/>
    <n v="2.8400000000000002E-2"/>
    <n v="2.84"/>
    <s v="low"/>
    <n v="9680.56"/>
    <n v="274.92790400000001"/>
    <n v="23"/>
    <n v="815"/>
    <x v="1"/>
    <n v="2"/>
    <s v="Good"/>
    <n v="5"/>
    <n v="10209.16"/>
    <s v="High Income"/>
    <s v="Unemployed"/>
    <s v="With Loan"/>
    <s v="Low-Risk"/>
  </r>
  <r>
    <s v="T000595"/>
    <s v="C1009"/>
    <s v="AC52307399"/>
    <x v="45"/>
    <x v="23"/>
    <x v="6"/>
    <x v="3"/>
    <n v="856.21"/>
    <x v="0"/>
    <n v="31361.18"/>
    <s v="Medium"/>
    <x v="2"/>
    <n v="56"/>
    <x v="2"/>
    <s v="Male"/>
    <s v="Checking"/>
    <x v="176"/>
    <s v="GBP"/>
    <x v="2"/>
    <n v="4.9700000000000001E-2"/>
    <n v="4.97"/>
    <s v="high"/>
    <n v="26681.654999999999"/>
    <n v="1326.0782535000001"/>
    <n v="21"/>
    <n v="791"/>
    <x v="4"/>
    <n v="2"/>
    <s v="Good"/>
    <n v="4"/>
    <n v="3113.63"/>
    <s v="Middle Income"/>
    <s v="Employed"/>
    <s v="Without Loan"/>
    <s v="Low-Risk"/>
  </r>
  <r>
    <s v="T000596"/>
    <s v="C3871"/>
    <s v="AC11308507"/>
    <x v="384"/>
    <x v="11"/>
    <x v="3"/>
    <x v="3"/>
    <n v="3887.55"/>
    <x v="0"/>
    <n v="30381.75"/>
    <s v="Medium"/>
    <x v="0"/>
    <n v="31"/>
    <x v="0"/>
    <s v="Female"/>
    <s v="Checking"/>
    <x v="437"/>
    <s v="USD"/>
    <x v="0"/>
    <n v="1.9099999999999999E-2"/>
    <n v="1.91"/>
    <s v="low"/>
    <n v="15174.46"/>
    <n v="289.83218599999998"/>
    <n v="25"/>
    <n v="539"/>
    <x v="0"/>
    <n v="1"/>
    <s v="Default"/>
    <n v="1"/>
    <n v="14309.28"/>
    <s v="High Income"/>
    <s v="Employed"/>
    <s v="With Loan"/>
    <s v="Low-Risk"/>
  </r>
  <r>
    <s v="T000597"/>
    <s v="C9989"/>
    <s v="AC97952701"/>
    <x v="385"/>
    <x v="30"/>
    <x v="2"/>
    <x v="0"/>
    <n v="3740.56"/>
    <x v="0"/>
    <n v="25810.19"/>
    <s v="Medium"/>
    <x v="0"/>
    <n v="38"/>
    <x v="1"/>
    <s v="Female"/>
    <s v="Checking"/>
    <x v="80"/>
    <s v="USD"/>
    <x v="2"/>
    <n v="2.24E-2"/>
    <n v="2.2400000000000002"/>
    <s v="low"/>
    <n v="26681.654999999999"/>
    <n v="597.66907199999991"/>
    <n v="13"/>
    <n v="660"/>
    <x v="2"/>
    <n v="2"/>
    <s v="Good"/>
    <n v="2"/>
    <n v="5792.41"/>
    <s v="High Income"/>
    <s v="Employed"/>
    <s v="Without Loan"/>
    <s v="Low-Risk"/>
  </r>
  <r>
    <s v="T000598"/>
    <s v="C8409"/>
    <s v="AC19331795"/>
    <x v="386"/>
    <x v="29"/>
    <x v="6"/>
    <x v="2"/>
    <n v="1899.22"/>
    <x v="1"/>
    <n v="18170.25"/>
    <s v="Medium"/>
    <x v="3"/>
    <n v="47"/>
    <x v="2"/>
    <s v="Male"/>
    <s v="Credit"/>
    <x v="19"/>
    <s v="GBP"/>
    <x v="0"/>
    <n v="4.9399999999999999E-2"/>
    <n v="4.9400000000000004"/>
    <s v="high"/>
    <n v="18885.490000000002"/>
    <n v="932.94320600000003"/>
    <n v="13"/>
    <n v="740"/>
    <x v="4"/>
    <n v="1"/>
    <s v="Default"/>
    <n v="4"/>
    <n v="4944.04"/>
    <s v="Middle Income"/>
    <s v="Employed"/>
    <s v="With Loan"/>
    <s v="Low-Risk"/>
  </r>
  <r>
    <s v="T000599"/>
    <s v="C8418"/>
    <s v="AC89491182"/>
    <x v="322"/>
    <x v="7"/>
    <x v="10"/>
    <x v="0"/>
    <n v="4411.53"/>
    <x v="0"/>
    <n v="45733.62"/>
    <s v="Medium"/>
    <x v="1"/>
    <n v="38"/>
    <x v="1"/>
    <s v="Female"/>
    <s v="Credit"/>
    <x v="438"/>
    <s v="EUR"/>
    <x v="0"/>
    <n v="4.3299999999999998E-2"/>
    <n v="4.33"/>
    <s v="high"/>
    <n v="26681.654999999999"/>
    <n v="1155.3156614999998"/>
    <n v="10"/>
    <n v="330"/>
    <x v="0"/>
    <n v="1"/>
    <s v="Default"/>
    <n v="1"/>
    <n v="3678.77"/>
    <s v="Middle Income"/>
    <s v="Self-employed"/>
    <s v="Without Loan"/>
    <s v="Low-Risk"/>
  </r>
  <r>
    <s v="T000600"/>
    <s v="C6124"/>
    <s v="AC19986298"/>
    <x v="80"/>
    <x v="0"/>
    <x v="3"/>
    <x v="2"/>
    <n v="3387.78"/>
    <x v="1"/>
    <n v="17648.740000000002"/>
    <s v="Medium"/>
    <x v="2"/>
    <n v="66"/>
    <x v="3"/>
    <s v="Female"/>
    <s v="Checking"/>
    <x v="192"/>
    <s v="GBP"/>
    <x v="0"/>
    <n v="2.8799999999999999E-2"/>
    <n v="2.88"/>
    <s v="low"/>
    <n v="26681.654999999999"/>
    <n v="768.43166399999996"/>
    <n v="13"/>
    <n v="621"/>
    <x v="2"/>
    <n v="1"/>
    <s v="Default"/>
    <n v="2"/>
    <n v="14298.03"/>
    <s v="High Income"/>
    <s v="Unemployed"/>
    <s v="Without Loan"/>
    <s v="Low-Risk"/>
  </r>
  <r>
    <s v="T000601"/>
    <s v="C2015"/>
    <s v="AC77209598"/>
    <x v="238"/>
    <x v="25"/>
    <x v="11"/>
    <x v="2"/>
    <n v="3483.86"/>
    <x v="0"/>
    <n v="23325.34"/>
    <s v="Medium"/>
    <x v="3"/>
    <n v="26"/>
    <x v="0"/>
    <s v="Male"/>
    <s v="Credit"/>
    <x v="293"/>
    <s v="GBP"/>
    <x v="1"/>
    <n v="3.2199999999999999E-2"/>
    <n v="3.22"/>
    <s v="low"/>
    <n v="26681.654999999999"/>
    <n v="859.14929099999995"/>
    <n v="13"/>
    <n v="643"/>
    <x v="2"/>
    <n v="0"/>
    <s v="Good"/>
    <n v="2"/>
    <n v="11254.75"/>
    <s v="High Income"/>
    <s v="Self-employed"/>
    <s v="Without Loan"/>
    <s v="Low-Risk"/>
  </r>
  <r>
    <s v="T000602"/>
    <s v="C3193"/>
    <s v="AC85655174"/>
    <x v="42"/>
    <x v="19"/>
    <x v="0"/>
    <x v="2"/>
    <n v="7416.36"/>
    <x v="0"/>
    <n v="34227.58"/>
    <s v="Medium"/>
    <x v="1"/>
    <n v="34"/>
    <x v="0"/>
    <s v="Male"/>
    <s v="Savings"/>
    <x v="439"/>
    <s v="GBP"/>
    <x v="0"/>
    <n v="4.3700000000000003E-2"/>
    <n v="4.37"/>
    <s v="high"/>
    <n v="26681.654999999999"/>
    <n v="1165.9883235"/>
    <n v="24"/>
    <n v="835"/>
    <x v="1"/>
    <n v="1"/>
    <s v="Default"/>
    <n v="5"/>
    <n v="11641.59"/>
    <s v="High Income"/>
    <s v="Unemployed"/>
    <s v="Without Loan"/>
    <s v="Low-Risk"/>
  </r>
  <r>
    <s v="T000603"/>
    <s v="C9415"/>
    <s v="AC29628490"/>
    <x v="387"/>
    <x v="12"/>
    <x v="4"/>
    <x v="1"/>
    <n v="2310.31"/>
    <x v="0"/>
    <n v="27608.05"/>
    <s v="Medium"/>
    <x v="2"/>
    <n v="22"/>
    <x v="4"/>
    <s v="Female"/>
    <s v="Checking"/>
    <x v="440"/>
    <s v="USD"/>
    <x v="2"/>
    <n v="2.92E-2"/>
    <n v="2.92"/>
    <s v="low"/>
    <n v="41499.769999999997"/>
    <n v="1211.7932839999999"/>
    <n v="15"/>
    <n v="654"/>
    <x v="2"/>
    <n v="2"/>
    <s v="Good"/>
    <n v="2"/>
    <n v="8492.26"/>
    <s v="High Income"/>
    <s v="Self-employed"/>
    <s v="With Loan"/>
    <s v="Low-Risk"/>
  </r>
  <r>
    <s v="T000604"/>
    <s v="C8449"/>
    <s v="AC95111891"/>
    <x v="242"/>
    <x v="23"/>
    <x v="9"/>
    <x v="0"/>
    <n v="6454.41"/>
    <x v="1"/>
    <n v="17997.41"/>
    <s v="Medium"/>
    <x v="0"/>
    <n v="48"/>
    <x v="2"/>
    <s v="Female"/>
    <s v="Checking"/>
    <x v="441"/>
    <s v="USD"/>
    <x v="0"/>
    <n v="1.8200000000000001E-2"/>
    <n v="1.82"/>
    <s v="low"/>
    <n v="26681.654999999999"/>
    <n v="485.60612100000003"/>
    <n v="8"/>
    <n v="770"/>
    <x v="4"/>
    <n v="1"/>
    <s v="Default"/>
    <n v="4"/>
    <n v="8171.46"/>
    <s v="High Income"/>
    <s v="Employed"/>
    <s v="Without Loan"/>
    <s v="Low-Risk"/>
  </r>
  <r>
    <s v="T000605"/>
    <s v="C5158"/>
    <s v="AC80189955"/>
    <x v="388"/>
    <x v="20"/>
    <x v="11"/>
    <x v="2"/>
    <n v="5749.43"/>
    <x v="0"/>
    <n v="22346.59"/>
    <s v="Medium"/>
    <x v="2"/>
    <n v="69"/>
    <x v="3"/>
    <s v="Female"/>
    <s v="Credit"/>
    <x v="382"/>
    <s v="USD"/>
    <x v="0"/>
    <n v="4.3099999999999999E-2"/>
    <n v="4.3099999999999996"/>
    <s v="high"/>
    <n v="26681.654999999999"/>
    <n v="1149.9793304999998"/>
    <n v="13"/>
    <n v="404"/>
    <x v="0"/>
    <n v="1"/>
    <s v="Default"/>
    <n v="1"/>
    <n v="3430.28"/>
    <s v="Middle Income"/>
    <s v="Unemployed"/>
    <s v="Without Loan"/>
    <s v="Low-Risk"/>
  </r>
  <r>
    <s v="T000606"/>
    <s v="C4925"/>
    <s v="AC26002437"/>
    <x v="171"/>
    <x v="15"/>
    <x v="10"/>
    <x v="3"/>
    <n v="5724.12"/>
    <x v="0"/>
    <n v="39929.56"/>
    <s v="Medium"/>
    <x v="4"/>
    <n v="57"/>
    <x v="2"/>
    <s v="Male"/>
    <s v="Checking"/>
    <x v="332"/>
    <s v="EUR"/>
    <x v="0"/>
    <n v="3.15E-2"/>
    <n v="3.15"/>
    <s v="low"/>
    <n v="26681.654999999999"/>
    <n v="840.47213249999993"/>
    <n v="13"/>
    <n v="621"/>
    <x v="2"/>
    <n v="1"/>
    <s v="Default"/>
    <n v="2"/>
    <n v="9277.93"/>
    <s v="High Income"/>
    <s v="Employed"/>
    <s v="Without Loan"/>
    <s v="Low-Risk"/>
  </r>
  <r>
    <s v="T000607"/>
    <s v="C7970"/>
    <s v="AC30606265"/>
    <x v="389"/>
    <x v="21"/>
    <x v="3"/>
    <x v="1"/>
    <n v="6663.77"/>
    <x v="1"/>
    <n v="14628.33"/>
    <s v="Medium"/>
    <x v="2"/>
    <n v="55"/>
    <x v="2"/>
    <s v="Female"/>
    <s v="Savings"/>
    <x v="442"/>
    <s v="USD"/>
    <x v="1"/>
    <n v="1.61E-2"/>
    <n v="1.61"/>
    <s v="low"/>
    <n v="26681.654999999999"/>
    <n v="429.57464549999997"/>
    <n v="18"/>
    <n v="826"/>
    <x v="1"/>
    <n v="0"/>
    <s v="Good"/>
    <n v="5"/>
    <n v="5209.91"/>
    <s v="High Income"/>
    <s v="Unemployed"/>
    <s v="Without Loan"/>
    <s v="Low-Risk"/>
  </r>
  <r>
    <s v="T000608"/>
    <s v="C7938"/>
    <s v="AC21091989"/>
    <x v="143"/>
    <x v="11"/>
    <x v="0"/>
    <x v="0"/>
    <n v="5528.98"/>
    <x v="1"/>
    <n v="7970.51"/>
    <s v="Low"/>
    <x v="4"/>
    <n v="60"/>
    <x v="2"/>
    <s v="Female"/>
    <s v="Credit"/>
    <x v="103"/>
    <s v="EUR"/>
    <x v="2"/>
    <n v="3.0200000000000001E-2"/>
    <n v="3.02"/>
    <s v="low"/>
    <n v="26681.654999999999"/>
    <n v="805.78598099999999"/>
    <n v="13"/>
    <n v="803"/>
    <x v="1"/>
    <n v="2"/>
    <s v="Good"/>
    <n v="5"/>
    <n v="14702.89"/>
    <s v="High Income"/>
    <s v="Unemployed"/>
    <s v="Without Loan"/>
    <s v="Low-Risk"/>
  </r>
  <r>
    <s v="T000609"/>
    <s v="C5784"/>
    <s v="AC73644057"/>
    <x v="385"/>
    <x v="30"/>
    <x v="2"/>
    <x v="2"/>
    <n v="8804.6299999999992"/>
    <x v="1"/>
    <n v="16345"/>
    <s v="Medium"/>
    <x v="2"/>
    <n v="36"/>
    <x v="1"/>
    <s v="Female"/>
    <s v="Credit"/>
    <x v="443"/>
    <s v="USD"/>
    <x v="1"/>
    <n v="2.6499999999999999E-2"/>
    <n v="2.65"/>
    <s v="low"/>
    <n v="10984.94"/>
    <n v="291.10091"/>
    <n v="25"/>
    <n v="384"/>
    <x v="0"/>
    <n v="0"/>
    <s v="Good"/>
    <n v="1"/>
    <n v="12355.55"/>
    <s v="High Income"/>
    <s v="Employed"/>
    <s v="With Loan"/>
    <s v="Low-Risk"/>
  </r>
  <r>
    <s v="T000610"/>
    <s v="C5000"/>
    <s v="AC62200318"/>
    <x v="287"/>
    <x v="22"/>
    <x v="0"/>
    <x v="3"/>
    <n v="6788.24"/>
    <x v="0"/>
    <n v="42627.18"/>
    <s v="Medium"/>
    <x v="4"/>
    <n v="53"/>
    <x v="2"/>
    <s v="Female"/>
    <s v="Checking"/>
    <x v="416"/>
    <s v="GBP"/>
    <x v="2"/>
    <n v="4.5100000000000001E-2"/>
    <n v="4.51"/>
    <s v="high"/>
    <n v="26681.654999999999"/>
    <n v="1203.3426405"/>
    <n v="17"/>
    <n v="534"/>
    <x v="0"/>
    <n v="2"/>
    <s v="Good"/>
    <n v="1"/>
    <n v="7368.9"/>
    <s v="High Income"/>
    <s v="Employed"/>
    <s v="Without Loan"/>
    <s v="Low-Risk"/>
  </r>
  <r>
    <s v="T000611"/>
    <s v="C2633"/>
    <s v="AC89790594"/>
    <x v="368"/>
    <x v="0"/>
    <x v="2"/>
    <x v="0"/>
    <n v="5514.94"/>
    <x v="1"/>
    <n v="5360.5"/>
    <s v="Low"/>
    <x v="0"/>
    <n v="67"/>
    <x v="3"/>
    <s v="Female"/>
    <s v="Checking"/>
    <x v="86"/>
    <s v="USD"/>
    <x v="1"/>
    <n v="1.4999999999999999E-2"/>
    <n v="1.4999999999999999E-2"/>
    <s v="low"/>
    <n v="7241.35"/>
    <n v="108.62025"/>
    <n v="13"/>
    <n v="562"/>
    <x v="0"/>
    <n v="0"/>
    <s v="Good"/>
    <n v="1"/>
    <n v="3967.44"/>
    <s v="Middle Income"/>
    <s v="Employed"/>
    <s v="With Loan"/>
    <s v="Low-Risk"/>
  </r>
  <r>
    <s v="T000612"/>
    <s v="C8266"/>
    <s v="AC50819838"/>
    <x v="21"/>
    <x v="14"/>
    <x v="3"/>
    <x v="0"/>
    <n v="8314.65"/>
    <x v="0"/>
    <n v="49593.11"/>
    <s v="Medium"/>
    <x v="1"/>
    <n v="50"/>
    <x v="2"/>
    <s v="Female"/>
    <s v="Checking"/>
    <x v="444"/>
    <s v="EUR"/>
    <x v="2"/>
    <n v="4.4999999999999998E-2"/>
    <n v="4.4999999999999998E-2"/>
    <s v="low"/>
    <n v="16865.400000000001"/>
    <n v="758.94299999999998"/>
    <n v="24"/>
    <n v="305"/>
    <x v="0"/>
    <n v="2"/>
    <s v="Good"/>
    <n v="1"/>
    <n v="12209.31"/>
    <s v="High Income"/>
    <s v="Self-employed"/>
    <s v="With Loan"/>
    <s v="Low-Risk"/>
  </r>
  <r>
    <s v="T000613"/>
    <s v="C9702"/>
    <s v="AC43283771"/>
    <x v="219"/>
    <x v="11"/>
    <x v="9"/>
    <x v="1"/>
    <n v="6100.85"/>
    <x v="0"/>
    <n v="27509.14"/>
    <s v="Medium"/>
    <x v="4"/>
    <n v="30"/>
    <x v="0"/>
    <s v="Male"/>
    <s v="Credit"/>
    <x v="377"/>
    <s v="EUR"/>
    <x v="1"/>
    <n v="3.0499999999999999E-2"/>
    <n v="3.05"/>
    <s v="low"/>
    <n v="26681.654999999999"/>
    <n v="813.79047749999995"/>
    <n v="7"/>
    <n v="793"/>
    <x v="4"/>
    <n v="0"/>
    <s v="Good"/>
    <n v="4"/>
    <n v="3586.7"/>
    <s v="Middle Income"/>
    <s v="Unemployed"/>
    <s v="Without Loan"/>
    <s v="Low-Risk"/>
  </r>
  <r>
    <s v="T000614"/>
    <s v="C1384"/>
    <s v="AC65145321"/>
    <x v="390"/>
    <x v="13"/>
    <x v="0"/>
    <x v="0"/>
    <n v="2982.33"/>
    <x v="0"/>
    <n v="49257.440000000002"/>
    <s v="Medium"/>
    <x v="4"/>
    <n v="31"/>
    <x v="0"/>
    <s v="Male"/>
    <s v="Checking"/>
    <x v="77"/>
    <s v="USD"/>
    <x v="0"/>
    <n v="2.6200000000000001E-2"/>
    <n v="2.62"/>
    <s v="low"/>
    <n v="26681.654999999999"/>
    <n v="699.05936099999997"/>
    <n v="13"/>
    <n v="588"/>
    <x v="2"/>
    <n v="1"/>
    <s v="Default"/>
    <n v="2"/>
    <n v="4461.34"/>
    <s v="Middle Income"/>
    <s v="Unemployed"/>
    <s v="Without Loan"/>
    <s v="Low-Risk"/>
  </r>
  <r>
    <s v="T000615"/>
    <s v="C1404"/>
    <s v="AC14755469"/>
    <x v="186"/>
    <x v="30"/>
    <x v="0"/>
    <x v="1"/>
    <n v="2150.2399999999998"/>
    <x v="0"/>
    <n v="47010.82"/>
    <s v="Medium"/>
    <x v="0"/>
    <n v="50"/>
    <x v="2"/>
    <s v="Female"/>
    <s v="Savings"/>
    <x v="445"/>
    <s v="GBP"/>
    <x v="1"/>
    <n v="1.6500000000000001E-2"/>
    <n v="1.65"/>
    <s v="low"/>
    <n v="42474.879999999997"/>
    <n v="700.83551999999997"/>
    <n v="27"/>
    <n v="649"/>
    <x v="2"/>
    <n v="0"/>
    <s v="Good"/>
    <n v="2"/>
    <n v="4749.7700000000004"/>
    <s v="Middle Income"/>
    <s v="Unemployed"/>
    <s v="With Loan"/>
    <s v="Low-Risk"/>
  </r>
  <r>
    <s v="T000616"/>
    <s v="C9175"/>
    <s v="AC92162634"/>
    <x v="20"/>
    <x v="6"/>
    <x v="7"/>
    <x v="2"/>
    <n v="1608.05"/>
    <x v="0"/>
    <n v="23187.87"/>
    <s v="Medium"/>
    <x v="4"/>
    <n v="46"/>
    <x v="2"/>
    <s v="Female"/>
    <s v="Checking"/>
    <x v="78"/>
    <s v="USD"/>
    <x v="1"/>
    <n v="3.7999999999999999E-2"/>
    <n v="3.7999999999999999E-2"/>
    <s v="low"/>
    <n v="19684.41"/>
    <n v="748.00757999999996"/>
    <n v="16"/>
    <n v="499"/>
    <x v="0"/>
    <n v="0"/>
    <s v="Good"/>
    <n v="1"/>
    <n v="9239.58"/>
    <s v="High Income"/>
    <s v="Employed"/>
    <s v="With Loan"/>
    <s v="Low-Risk"/>
  </r>
  <r>
    <s v="T000617"/>
    <s v="C3000"/>
    <s v="AC36098641"/>
    <x v="391"/>
    <x v="5"/>
    <x v="8"/>
    <x v="1"/>
    <n v="9004.61"/>
    <x v="1"/>
    <n v="10726.06"/>
    <s v="Medium"/>
    <x v="3"/>
    <n v="60"/>
    <x v="2"/>
    <s v="Male"/>
    <s v="Checking"/>
    <x v="402"/>
    <s v="USD"/>
    <x v="0"/>
    <n v="4.7100000000000003E-2"/>
    <n v="4.71"/>
    <s v="high"/>
    <n v="37752.54"/>
    <n v="1778.1446340000002"/>
    <n v="13"/>
    <n v="634"/>
    <x v="2"/>
    <n v="1"/>
    <s v="Default"/>
    <n v="2"/>
    <n v="12231.74"/>
    <s v="High Income"/>
    <s v="Unemployed"/>
    <s v="With Loan"/>
    <s v="Low-Risk"/>
  </r>
  <r>
    <s v="T000618"/>
    <s v="C6989"/>
    <s v="AC24150540"/>
    <x v="37"/>
    <x v="2"/>
    <x v="0"/>
    <x v="3"/>
    <n v="7130.34"/>
    <x v="1"/>
    <n v="9079.35"/>
    <s v="Low"/>
    <x v="0"/>
    <n v="66"/>
    <x v="3"/>
    <s v="Male"/>
    <s v="Credit"/>
    <x v="199"/>
    <s v="USD"/>
    <x v="0"/>
    <n v="2.5000000000000001E-2"/>
    <n v="2.5000000000000001E-2"/>
    <s v="low"/>
    <n v="26681.654999999999"/>
    <n v="667.04137500000002"/>
    <n v="4"/>
    <n v="516"/>
    <x v="0"/>
    <n v="1"/>
    <s v="Default"/>
    <n v="1"/>
    <n v="6086.09"/>
    <s v="High Income"/>
    <s v="Unemployed"/>
    <s v="Without Loan"/>
    <s v="Low-Risk"/>
  </r>
  <r>
    <s v="T000619"/>
    <s v="C2460"/>
    <s v="AC55221400"/>
    <x v="73"/>
    <x v="26"/>
    <x v="6"/>
    <x v="1"/>
    <n v="9380.0499999999993"/>
    <x v="1"/>
    <n v="12759.48"/>
    <s v="Medium"/>
    <x v="3"/>
    <n v="53"/>
    <x v="2"/>
    <s v="Male"/>
    <s v="Checking"/>
    <x v="410"/>
    <s v="GBP"/>
    <x v="2"/>
    <n v="1.9699999999999999E-2"/>
    <n v="1.97"/>
    <s v="low"/>
    <n v="34671.879999999997"/>
    <n v="683.03603599999985"/>
    <n v="26"/>
    <n v="652"/>
    <x v="2"/>
    <n v="2"/>
    <s v="Good"/>
    <n v="2"/>
    <n v="3100.71"/>
    <s v="Middle Income"/>
    <s v="Employed"/>
    <s v="With Loan"/>
    <s v="Low-Risk"/>
  </r>
  <r>
    <s v="T000620"/>
    <s v="C8190"/>
    <s v="AC11992825"/>
    <x v="348"/>
    <x v="2"/>
    <x v="10"/>
    <x v="3"/>
    <n v="6072.59"/>
    <x v="0"/>
    <n v="35796.5"/>
    <s v="Medium"/>
    <x v="0"/>
    <n v="61"/>
    <x v="3"/>
    <s v="Female"/>
    <s v="Credit"/>
    <x v="292"/>
    <s v="EUR"/>
    <x v="2"/>
    <n v="3.2199999999999999E-2"/>
    <n v="3.22"/>
    <s v="low"/>
    <n v="19253.62"/>
    <n v="619.96656399999995"/>
    <n v="13"/>
    <n v="624"/>
    <x v="2"/>
    <n v="2"/>
    <s v="Good"/>
    <n v="2"/>
    <n v="8039"/>
    <s v="High Income"/>
    <s v="Employed"/>
    <s v="With Loan"/>
    <s v="Low-Risk"/>
  </r>
  <r>
    <s v="T000621"/>
    <s v="C8140"/>
    <s v="AC80941842"/>
    <x v="392"/>
    <x v="26"/>
    <x v="0"/>
    <x v="1"/>
    <n v="4786.67"/>
    <x v="1"/>
    <n v="14374.55"/>
    <s v="Medium"/>
    <x v="4"/>
    <n v="27"/>
    <x v="0"/>
    <s v="Female"/>
    <s v="Checking"/>
    <x v="446"/>
    <s v="GBP"/>
    <x v="2"/>
    <n v="4.1799999999999997E-2"/>
    <n v="4.18"/>
    <s v="high"/>
    <n v="26681.654999999999"/>
    <n v="1115.2931789999998"/>
    <n v="13"/>
    <n v="527"/>
    <x v="0"/>
    <n v="2"/>
    <s v="Good"/>
    <n v="1"/>
    <n v="11725.43"/>
    <s v="High Income"/>
    <s v="Unemployed"/>
    <s v="Without Loan"/>
    <s v="Low-Risk"/>
  </r>
  <r>
    <s v="T000622"/>
    <s v="C4636"/>
    <s v="AC40559798"/>
    <x v="393"/>
    <x v="30"/>
    <x v="11"/>
    <x v="0"/>
    <n v="691.19"/>
    <x v="1"/>
    <n v="17729.84"/>
    <s v="Medium"/>
    <x v="3"/>
    <n v="48"/>
    <x v="2"/>
    <s v="Female"/>
    <s v="Savings"/>
    <x v="360"/>
    <s v="EUR"/>
    <x v="1"/>
    <n v="1.0200000000000001E-2"/>
    <n v="1.02"/>
    <s v="low"/>
    <n v="11131.34"/>
    <n v="113.53966800000001"/>
    <n v="13"/>
    <n v="444"/>
    <x v="0"/>
    <n v="0"/>
    <s v="Good"/>
    <n v="1"/>
    <n v="4881.63"/>
    <s v="Middle Income"/>
    <s v="Self-employed"/>
    <s v="With Loan"/>
    <s v="Low-Risk"/>
  </r>
  <r>
    <s v="T000623"/>
    <s v="C5809"/>
    <s v="AC16152941"/>
    <x v="288"/>
    <x v="12"/>
    <x v="11"/>
    <x v="2"/>
    <n v="6749.26"/>
    <x v="0"/>
    <n v="22990.16"/>
    <s v="Medium"/>
    <x v="4"/>
    <n v="23"/>
    <x v="4"/>
    <s v="Female"/>
    <s v="Savings"/>
    <x v="447"/>
    <s v="EUR"/>
    <x v="2"/>
    <n v="3.5299999999999998E-2"/>
    <n v="3.53"/>
    <s v="low"/>
    <n v="26681.654999999999"/>
    <n v="941.86242149999987"/>
    <n v="14"/>
    <n v="607"/>
    <x v="2"/>
    <n v="2"/>
    <s v="Good"/>
    <n v="2"/>
    <n v="4859.0200000000004"/>
    <s v="Middle Income"/>
    <s v="Employed"/>
    <s v="Without Loan"/>
    <s v="Low-Risk"/>
  </r>
  <r>
    <s v="T000624"/>
    <s v="C5178"/>
    <s v="AC46286070"/>
    <x v="394"/>
    <x v="1"/>
    <x v="8"/>
    <x v="3"/>
    <n v="5863.87"/>
    <x v="0"/>
    <n v="45748.4"/>
    <s v="Medium"/>
    <x v="0"/>
    <n v="18"/>
    <x v="4"/>
    <s v="Male"/>
    <s v="Credit"/>
    <x v="245"/>
    <s v="EUR"/>
    <x v="1"/>
    <n v="3.39E-2"/>
    <n v="3.39"/>
    <s v="low"/>
    <n v="15915.97"/>
    <n v="539.55138299999999"/>
    <n v="13"/>
    <n v="584"/>
    <x v="2"/>
    <n v="0"/>
    <s v="Good"/>
    <n v="2"/>
    <n v="14313.95"/>
    <s v="High Income"/>
    <s v="Self-employed"/>
    <s v="With Loan"/>
    <s v="Low-Risk"/>
  </r>
  <r>
    <s v="T000625"/>
    <s v="C8245"/>
    <s v="AC20556086"/>
    <x v="395"/>
    <x v="19"/>
    <x v="2"/>
    <x v="1"/>
    <n v="9903.07"/>
    <x v="1"/>
    <n v="10280.280000000001"/>
    <s v="Medium"/>
    <x v="4"/>
    <n v="24"/>
    <x v="4"/>
    <s v="Male"/>
    <s v="Credit"/>
    <x v="353"/>
    <s v="GBP"/>
    <x v="1"/>
    <n v="2.2700000000000001E-2"/>
    <n v="2.27"/>
    <s v="low"/>
    <n v="26681.654999999999"/>
    <n v="605.67356849999999"/>
    <n v="22"/>
    <n v="691"/>
    <x v="3"/>
    <n v="0"/>
    <s v="Good"/>
    <n v="3"/>
    <n v="14404"/>
    <s v="High Income"/>
    <s v="Self-employed"/>
    <s v="Without Loan"/>
    <s v="Low-Risk"/>
  </r>
  <r>
    <s v="T000626"/>
    <s v="C7600"/>
    <s v="AC63307679"/>
    <x v="131"/>
    <x v="28"/>
    <x v="3"/>
    <x v="1"/>
    <n v="2467.67"/>
    <x v="1"/>
    <n v="1246.3"/>
    <s v="Low"/>
    <x v="3"/>
    <n v="44"/>
    <x v="1"/>
    <s v="Male"/>
    <s v="Checking"/>
    <x v="448"/>
    <s v="USD"/>
    <x v="2"/>
    <n v="2.81E-2"/>
    <n v="2.81"/>
    <s v="low"/>
    <n v="47758.13"/>
    <n v="1342.003453"/>
    <n v="13"/>
    <n v="659"/>
    <x v="2"/>
    <n v="2"/>
    <s v="Good"/>
    <n v="2"/>
    <n v="14876.05"/>
    <s v="High Income"/>
    <s v="Self-employed"/>
    <s v="With Loan"/>
    <s v="Low-Risk"/>
  </r>
  <r>
    <s v="T000627"/>
    <s v="C6997"/>
    <s v="AC33289643"/>
    <x v="396"/>
    <x v="6"/>
    <x v="10"/>
    <x v="1"/>
    <n v="5354.3"/>
    <x v="1"/>
    <n v="3944.72"/>
    <s v="Low"/>
    <x v="3"/>
    <n v="38"/>
    <x v="1"/>
    <s v="Male"/>
    <s v="Checking"/>
    <x v="103"/>
    <s v="USD"/>
    <x v="2"/>
    <n v="1.9900000000000001E-2"/>
    <n v="1.99"/>
    <s v="low"/>
    <n v="26681.654999999999"/>
    <n v="530.96493450000003"/>
    <n v="27"/>
    <n v="464"/>
    <x v="0"/>
    <n v="2"/>
    <s v="Good"/>
    <n v="1"/>
    <n v="12499.57"/>
    <s v="High Income"/>
    <s v="Self-employed"/>
    <s v="Without Loan"/>
    <s v="Low-Risk"/>
  </r>
  <r>
    <s v="T000628"/>
    <s v="C3048"/>
    <s v="AC99597893"/>
    <x v="262"/>
    <x v="23"/>
    <x v="8"/>
    <x v="0"/>
    <n v="6544.48"/>
    <x v="0"/>
    <n v="45333.55"/>
    <s v="Medium"/>
    <x v="4"/>
    <n v="45"/>
    <x v="1"/>
    <s v="Female"/>
    <s v="Savings"/>
    <x v="443"/>
    <s v="USD"/>
    <x v="1"/>
    <n v="4.1599999999999998E-2"/>
    <n v="4.16"/>
    <s v="high"/>
    <n v="26681.654999999999"/>
    <n v="1109.9568479999998"/>
    <n v="1"/>
    <n v="523"/>
    <x v="0"/>
    <n v="0"/>
    <s v="Good"/>
    <n v="1"/>
    <n v="4446.3900000000003"/>
    <s v="Middle Income"/>
    <s v="Employed"/>
    <s v="Without Loan"/>
    <s v="Low-Risk"/>
  </r>
  <r>
    <s v="T000629"/>
    <s v="C5780"/>
    <s v="AC11940369"/>
    <x v="397"/>
    <x v="24"/>
    <x v="1"/>
    <x v="0"/>
    <n v="6481.45"/>
    <x v="0"/>
    <n v="32728.31"/>
    <s v="Medium"/>
    <x v="2"/>
    <n v="33"/>
    <x v="0"/>
    <s v="Female"/>
    <s v="Checking"/>
    <x v="449"/>
    <s v="USD"/>
    <x v="0"/>
    <n v="3.5400000000000001E-2"/>
    <n v="3.54"/>
    <s v="low"/>
    <n v="47732.1"/>
    <n v="1689.7163399999999"/>
    <n v="13"/>
    <n v="423"/>
    <x v="0"/>
    <n v="1"/>
    <s v="Default"/>
    <n v="1"/>
    <n v="4755.76"/>
    <s v="Middle Income"/>
    <s v="Unemployed"/>
    <s v="With Loan"/>
    <s v="High-Risk"/>
  </r>
  <r>
    <s v="T000630"/>
    <s v="C1716"/>
    <s v="AC51681557"/>
    <x v="162"/>
    <x v="26"/>
    <x v="9"/>
    <x v="3"/>
    <n v="5656.81"/>
    <x v="1"/>
    <n v="14378.99"/>
    <s v="Medium"/>
    <x v="0"/>
    <n v="63"/>
    <x v="3"/>
    <s v="Male"/>
    <s v="Savings"/>
    <x v="450"/>
    <s v="USD"/>
    <x v="0"/>
    <n v="3.1300000000000001E-2"/>
    <n v="3.13"/>
    <s v="low"/>
    <n v="26681.654999999999"/>
    <n v="835.13580149999996"/>
    <n v="21"/>
    <n v="643"/>
    <x v="2"/>
    <n v="1"/>
    <s v="Default"/>
    <n v="2"/>
    <n v="6422.93"/>
    <s v="High Income"/>
    <s v="Unemployed"/>
    <s v="Without Loan"/>
    <s v="Low-Risk"/>
  </r>
  <r>
    <s v="T000631"/>
    <s v="C8939"/>
    <s v="AC95103140"/>
    <x v="119"/>
    <x v="20"/>
    <x v="1"/>
    <x v="3"/>
    <n v="7791.59"/>
    <x v="1"/>
    <n v="9682.43"/>
    <s v="Low"/>
    <x v="0"/>
    <n v="40"/>
    <x v="1"/>
    <s v="Male"/>
    <s v="Credit"/>
    <x v="235"/>
    <s v="GBP"/>
    <x v="1"/>
    <n v="2.5700000000000001E-2"/>
    <n v="2.57"/>
    <s v="low"/>
    <n v="9269.18"/>
    <n v="238.21792600000001"/>
    <n v="20"/>
    <n v="823"/>
    <x v="1"/>
    <n v="0"/>
    <s v="Good"/>
    <n v="5"/>
    <n v="6135.72"/>
    <s v="High Income"/>
    <s v="Employed"/>
    <s v="With Loan"/>
    <s v="Low-Risk"/>
  </r>
  <r>
    <s v="T000632"/>
    <s v="C6565"/>
    <s v="AC58226615"/>
    <x v="33"/>
    <x v="1"/>
    <x v="6"/>
    <x v="0"/>
    <n v="2129.31"/>
    <x v="1"/>
    <n v="15419.07"/>
    <s v="Medium"/>
    <x v="4"/>
    <n v="69"/>
    <x v="3"/>
    <s v="Male"/>
    <s v="Checking"/>
    <x v="412"/>
    <s v="GBP"/>
    <x v="2"/>
    <n v="2.1700000000000001E-2"/>
    <n v="2.17"/>
    <s v="low"/>
    <n v="26681.654999999999"/>
    <n v="578.99191350000001"/>
    <n v="13"/>
    <n v="351"/>
    <x v="0"/>
    <n v="2"/>
    <s v="Good"/>
    <n v="1"/>
    <n v="14434.86"/>
    <s v="High Income"/>
    <s v="Employed"/>
    <s v="Without Loan"/>
    <s v="Low-Risk"/>
  </r>
  <r>
    <s v="T000633"/>
    <s v="C5544"/>
    <s v="AC35955176"/>
    <x v="193"/>
    <x v="6"/>
    <x v="4"/>
    <x v="3"/>
    <n v="7283.71"/>
    <x v="1"/>
    <n v="6625.05"/>
    <s v="Low"/>
    <x v="2"/>
    <n v="37"/>
    <x v="1"/>
    <s v="Male"/>
    <s v="Credit"/>
    <x v="451"/>
    <s v="GBP"/>
    <x v="1"/>
    <n v="4.2900000000000001E-2"/>
    <n v="4.29"/>
    <s v="high"/>
    <n v="26681.654999999999"/>
    <n v="1144.6429994999999"/>
    <n v="7"/>
    <n v="428"/>
    <x v="0"/>
    <n v="0"/>
    <s v="Good"/>
    <n v="1"/>
    <n v="12257.96"/>
    <s v="High Income"/>
    <s v="Self-employed"/>
    <s v="Without Loan"/>
    <s v="Low-Risk"/>
  </r>
  <r>
    <s v="T000634"/>
    <s v="C5976"/>
    <s v="AC91718171"/>
    <x v="398"/>
    <x v="17"/>
    <x v="6"/>
    <x v="2"/>
    <n v="6235.37"/>
    <x v="0"/>
    <n v="47135.11"/>
    <s v="Medium"/>
    <x v="3"/>
    <n v="55"/>
    <x v="2"/>
    <s v="Male"/>
    <s v="Checking"/>
    <x v="452"/>
    <s v="GBP"/>
    <x v="1"/>
    <n v="2.81E-2"/>
    <n v="2.81"/>
    <s v="low"/>
    <n v="26681.654999999999"/>
    <n v="749.75450549999994"/>
    <n v="9"/>
    <n v="434"/>
    <x v="0"/>
    <n v="0"/>
    <s v="Good"/>
    <n v="1"/>
    <n v="11412.11"/>
    <s v="High Income"/>
    <s v="Self-employed"/>
    <s v="Without Loan"/>
    <s v="Low-Risk"/>
  </r>
  <r>
    <s v="T000635"/>
    <s v="C4419"/>
    <s v="AC61721929"/>
    <x v="287"/>
    <x v="22"/>
    <x v="0"/>
    <x v="2"/>
    <n v="8971.14"/>
    <x v="0"/>
    <n v="39426.1"/>
    <s v="Medium"/>
    <x v="1"/>
    <n v="42"/>
    <x v="1"/>
    <s v="Female"/>
    <s v="Savings"/>
    <x v="453"/>
    <s v="GBP"/>
    <x v="2"/>
    <n v="3.0099999999999998E-2"/>
    <n v="3.01"/>
    <s v="low"/>
    <n v="26681.654999999999"/>
    <n v="803.11781549999989"/>
    <n v="8"/>
    <n v="426"/>
    <x v="0"/>
    <n v="2"/>
    <s v="Good"/>
    <n v="1"/>
    <n v="4417.5200000000004"/>
    <s v="Middle Income"/>
    <s v="Employed"/>
    <s v="Without Loan"/>
    <s v="Low-Risk"/>
  </r>
  <r>
    <s v="T000636"/>
    <s v="C8239"/>
    <s v="AC17778748"/>
    <x v="48"/>
    <x v="24"/>
    <x v="3"/>
    <x v="0"/>
    <n v="8487.2199999999993"/>
    <x v="0"/>
    <n v="23657.17"/>
    <s v="Medium"/>
    <x v="1"/>
    <n v="45"/>
    <x v="1"/>
    <s v="Female"/>
    <s v="Credit"/>
    <x v="26"/>
    <s v="GBP"/>
    <x v="0"/>
    <n v="3.0800000000000001E-2"/>
    <n v="3.08"/>
    <s v="low"/>
    <n v="26681.654999999999"/>
    <n v="821.79497400000002"/>
    <n v="13"/>
    <n v="370"/>
    <x v="0"/>
    <n v="1"/>
    <s v="Default"/>
    <n v="1"/>
    <n v="13823.83"/>
    <s v="High Income"/>
    <s v="Unemployed"/>
    <s v="Without Loan"/>
    <s v="Low-Risk"/>
  </r>
  <r>
    <s v="T000637"/>
    <s v="C1249"/>
    <s v="AC51654364"/>
    <x v="350"/>
    <x v="6"/>
    <x v="4"/>
    <x v="3"/>
    <n v="3219.96"/>
    <x v="0"/>
    <n v="43383.17"/>
    <s v="Medium"/>
    <x v="4"/>
    <n v="22"/>
    <x v="4"/>
    <s v="Male"/>
    <s v="Credit"/>
    <x v="265"/>
    <s v="GBP"/>
    <x v="1"/>
    <n v="2.7900000000000001E-2"/>
    <n v="2.79"/>
    <s v="low"/>
    <n v="26681.654999999999"/>
    <n v="744.41817449999996"/>
    <n v="13"/>
    <n v="572"/>
    <x v="0"/>
    <n v="0"/>
    <s v="Good"/>
    <n v="1"/>
    <n v="12762.31"/>
    <s v="High Income"/>
    <s v="Self-employed"/>
    <s v="Without Loan"/>
    <s v="Low-Risk"/>
  </r>
  <r>
    <s v="T000638"/>
    <s v="C9865"/>
    <s v="AC62182965"/>
    <x v="233"/>
    <x v="12"/>
    <x v="3"/>
    <x v="1"/>
    <n v="2834.75"/>
    <x v="1"/>
    <n v="13223.45"/>
    <s v="Medium"/>
    <x v="2"/>
    <n v="38"/>
    <x v="1"/>
    <s v="Male"/>
    <s v="Checking"/>
    <x v="454"/>
    <s v="USD"/>
    <x v="0"/>
    <n v="2.0199999999999999E-2"/>
    <n v="2.02"/>
    <s v="low"/>
    <n v="26681.654999999999"/>
    <n v="538.96943099999999"/>
    <n v="13"/>
    <n v="486"/>
    <x v="0"/>
    <n v="1"/>
    <s v="Default"/>
    <n v="1"/>
    <n v="4127.34"/>
    <s v="Middle Income"/>
    <s v="Employed"/>
    <s v="Without Loan"/>
    <s v="Low-Risk"/>
  </r>
  <r>
    <s v="T000639"/>
    <s v="C1770"/>
    <s v="AC79055694"/>
    <x v="399"/>
    <x v="17"/>
    <x v="0"/>
    <x v="2"/>
    <n v="9818.3700000000008"/>
    <x v="0"/>
    <n v="36138.910000000003"/>
    <s v="Medium"/>
    <x v="2"/>
    <n v="35"/>
    <x v="0"/>
    <s v="Male"/>
    <s v="Credit"/>
    <x v="333"/>
    <s v="EUR"/>
    <x v="0"/>
    <n v="1.4800000000000001E-2"/>
    <n v="1.48"/>
    <s v="low"/>
    <n v="29877.37"/>
    <n v="442.18507599999998"/>
    <n v="13"/>
    <n v="302"/>
    <x v="0"/>
    <n v="1"/>
    <s v="Default"/>
    <n v="1"/>
    <n v="13325.21"/>
    <s v="High Income"/>
    <s v="Employed"/>
    <s v="With Loan"/>
    <s v="Low-Risk"/>
  </r>
  <r>
    <s v="T000640"/>
    <s v="C5363"/>
    <s v="AC42997728"/>
    <x v="212"/>
    <x v="26"/>
    <x v="8"/>
    <x v="0"/>
    <n v="5319.93"/>
    <x v="0"/>
    <n v="42950.49"/>
    <s v="Medium"/>
    <x v="0"/>
    <n v="64"/>
    <x v="3"/>
    <s v="Female"/>
    <s v="Savings"/>
    <x v="74"/>
    <s v="GBP"/>
    <x v="2"/>
    <n v="1.3899999999999999E-2"/>
    <n v="1.39"/>
    <s v="low"/>
    <n v="6125.68"/>
    <n v="85.146951999999999"/>
    <n v="13"/>
    <n v="584"/>
    <x v="2"/>
    <n v="2"/>
    <s v="Good"/>
    <n v="2"/>
    <n v="5539.22"/>
    <s v="High Income"/>
    <s v="Employed"/>
    <s v="With Loan"/>
    <s v="Low-Risk"/>
  </r>
  <r>
    <s v="T000641"/>
    <s v="C2077"/>
    <s v="AC87066032"/>
    <x v="400"/>
    <x v="25"/>
    <x v="2"/>
    <x v="3"/>
    <n v="9073.57"/>
    <x v="1"/>
    <n v="18481.669999999998"/>
    <s v="Medium"/>
    <x v="3"/>
    <n v="23"/>
    <x v="4"/>
    <s v="Female"/>
    <s v="Credit"/>
    <x v="455"/>
    <s v="EUR"/>
    <x v="1"/>
    <n v="4.0300000000000002E-2"/>
    <n v="4.03"/>
    <s v="high"/>
    <n v="26681.654999999999"/>
    <n v="1075.2706965"/>
    <n v="13"/>
    <n v="321"/>
    <x v="0"/>
    <n v="0"/>
    <s v="Good"/>
    <n v="1"/>
    <n v="3051.31"/>
    <s v="Middle Income"/>
    <s v="Self-employed"/>
    <s v="Without Loan"/>
    <s v="Low-Risk"/>
  </r>
  <r>
    <s v="T000642"/>
    <s v="C9427"/>
    <s v="AC46159646"/>
    <x v="390"/>
    <x v="13"/>
    <x v="0"/>
    <x v="0"/>
    <n v="1722.42"/>
    <x v="0"/>
    <n v="38115.760000000002"/>
    <s v="Medium"/>
    <x v="2"/>
    <n v="46"/>
    <x v="2"/>
    <s v="Female"/>
    <s v="Credit"/>
    <x v="456"/>
    <s v="GBP"/>
    <x v="1"/>
    <n v="1.89E-2"/>
    <n v="1.89"/>
    <s v="low"/>
    <n v="26681.654999999999"/>
    <n v="504.28327949999999"/>
    <n v="13"/>
    <n v="465"/>
    <x v="0"/>
    <n v="0"/>
    <s v="Good"/>
    <n v="1"/>
    <n v="10538.69"/>
    <s v="High Income"/>
    <s v="Employed"/>
    <s v="Without Loan"/>
    <s v="Low-Risk"/>
  </r>
  <r>
    <s v="T000643"/>
    <s v="C9580"/>
    <s v="AC51478073"/>
    <x v="178"/>
    <x v="16"/>
    <x v="5"/>
    <x v="1"/>
    <n v="6463.91"/>
    <x v="1"/>
    <n v="15458.55"/>
    <s v="Medium"/>
    <x v="1"/>
    <n v="36"/>
    <x v="1"/>
    <s v="Male"/>
    <s v="Checking"/>
    <x v="373"/>
    <s v="GBP"/>
    <x v="0"/>
    <n v="1.2200000000000001E-2"/>
    <n v="1.22"/>
    <s v="low"/>
    <n v="26681.654999999999"/>
    <n v="325.51619099999999"/>
    <n v="13"/>
    <n v="609"/>
    <x v="2"/>
    <n v="1"/>
    <s v="Default"/>
    <n v="2"/>
    <n v="10499.46"/>
    <s v="High Income"/>
    <s v="Unemployed"/>
    <s v="Without Loan"/>
    <s v="Low-Risk"/>
  </r>
  <r>
    <s v="T000644"/>
    <s v="C8901"/>
    <s v="AC20717207"/>
    <x v="2"/>
    <x v="2"/>
    <x v="2"/>
    <x v="2"/>
    <n v="8117.62"/>
    <x v="1"/>
    <n v="15644"/>
    <s v="Medium"/>
    <x v="3"/>
    <n v="50"/>
    <x v="2"/>
    <s v="Female"/>
    <s v="Credit"/>
    <x v="457"/>
    <s v="USD"/>
    <x v="0"/>
    <n v="4.19E-2"/>
    <n v="4.1900000000000004"/>
    <s v="high"/>
    <n v="43545.57"/>
    <n v="1824.559383"/>
    <n v="16"/>
    <n v="776"/>
    <x v="4"/>
    <n v="1"/>
    <s v="Default"/>
    <n v="4"/>
    <n v="3234.12"/>
    <s v="Middle Income"/>
    <s v="Employed"/>
    <s v="With Loan"/>
    <s v="Low-Risk"/>
  </r>
  <r>
    <s v="T000645"/>
    <s v="C5858"/>
    <s v="AC92649491"/>
    <x v="201"/>
    <x v="17"/>
    <x v="2"/>
    <x v="0"/>
    <n v="9479.2099999999991"/>
    <x v="1"/>
    <n v="6245.8"/>
    <s v="Low"/>
    <x v="3"/>
    <n v="18"/>
    <x v="4"/>
    <s v="Male"/>
    <s v="Checking"/>
    <x v="274"/>
    <s v="EUR"/>
    <x v="2"/>
    <n v="1.6199999999999999E-2"/>
    <n v="1.62"/>
    <s v="low"/>
    <n v="26681.654999999999"/>
    <n v="432.24281099999996"/>
    <n v="29"/>
    <n v="797"/>
    <x v="4"/>
    <n v="2"/>
    <s v="Good"/>
    <n v="4"/>
    <n v="6145.07"/>
    <s v="High Income"/>
    <s v="Self-employed"/>
    <s v="Without Loan"/>
    <s v="Low-Risk"/>
  </r>
  <r>
    <s v="T000646"/>
    <s v="C7544"/>
    <s v="AC26169764"/>
    <x v="141"/>
    <x v="17"/>
    <x v="3"/>
    <x v="0"/>
    <n v="3439.67"/>
    <x v="0"/>
    <n v="22562.84"/>
    <s v="Medium"/>
    <x v="4"/>
    <n v="62"/>
    <x v="3"/>
    <s v="Female"/>
    <s v="Checking"/>
    <x v="458"/>
    <s v="USD"/>
    <x v="0"/>
    <n v="3.5000000000000003E-2"/>
    <n v="3.5000000000000003E-2"/>
    <s v="low"/>
    <n v="40244.97"/>
    <n v="1408.5739500000002"/>
    <n v="11"/>
    <n v="733"/>
    <x v="3"/>
    <n v="1"/>
    <s v="Default"/>
    <n v="3"/>
    <n v="14906.59"/>
    <s v="High Income"/>
    <s v="Unemployed"/>
    <s v="With Loan"/>
    <s v="Low-Risk"/>
  </r>
  <r>
    <s v="T000647"/>
    <s v="C5719"/>
    <s v="AC19384451"/>
    <x v="101"/>
    <x v="30"/>
    <x v="7"/>
    <x v="0"/>
    <n v="7277.31"/>
    <x v="0"/>
    <n v="36755.879999999997"/>
    <s v="Medium"/>
    <x v="2"/>
    <n v="20"/>
    <x v="4"/>
    <s v="Female"/>
    <s v="Credit"/>
    <x v="459"/>
    <s v="USD"/>
    <x v="2"/>
    <n v="2.35E-2"/>
    <n v="2.35"/>
    <s v="low"/>
    <n v="26681.654999999999"/>
    <n v="627.01889249999999"/>
    <n v="16"/>
    <n v="533"/>
    <x v="0"/>
    <n v="2"/>
    <s v="Good"/>
    <n v="1"/>
    <n v="10819.55"/>
    <s v="High Income"/>
    <s v="Unemployed"/>
    <s v="Without Loan"/>
    <s v="Low-Risk"/>
  </r>
  <r>
    <s v="T000648"/>
    <s v="C3814"/>
    <s v="AC81297755"/>
    <x v="109"/>
    <x v="24"/>
    <x v="8"/>
    <x v="1"/>
    <n v="5434.25"/>
    <x v="0"/>
    <n v="47070.82"/>
    <s v="Medium"/>
    <x v="4"/>
    <n v="59"/>
    <x v="2"/>
    <s v="Female"/>
    <s v="Savings"/>
    <x v="460"/>
    <s v="EUR"/>
    <x v="1"/>
    <n v="1.5100000000000001E-2"/>
    <n v="1.51"/>
    <s v="low"/>
    <n v="26681.654999999999"/>
    <n v="402.8929905"/>
    <n v="13"/>
    <n v="675"/>
    <x v="3"/>
    <n v="0"/>
    <s v="Good"/>
    <n v="3"/>
    <n v="11490.98"/>
    <s v="High Income"/>
    <s v="Employed"/>
    <s v="Without Loan"/>
    <s v="Low-Risk"/>
  </r>
  <r>
    <s v="T000649"/>
    <s v="C4374"/>
    <s v="AC86123517"/>
    <x v="401"/>
    <x v="8"/>
    <x v="2"/>
    <x v="0"/>
    <n v="700.23"/>
    <x v="0"/>
    <n v="30586.05"/>
    <s v="Medium"/>
    <x v="2"/>
    <n v="38"/>
    <x v="1"/>
    <s v="Male"/>
    <s v="Checking"/>
    <x v="441"/>
    <s v="USD"/>
    <x v="2"/>
    <n v="2.6599999999999999E-2"/>
    <n v="2.66"/>
    <s v="low"/>
    <n v="26681.654999999999"/>
    <n v="709.73202299999991"/>
    <n v="3"/>
    <n v="545"/>
    <x v="0"/>
    <n v="2"/>
    <s v="Good"/>
    <n v="1"/>
    <n v="4767.92"/>
    <s v="Middle Income"/>
    <s v="Employed"/>
    <s v="Without Loan"/>
    <s v="Low-Risk"/>
  </r>
  <r>
    <s v="T000650"/>
    <s v="C2252"/>
    <s v="AC91173011"/>
    <x v="4"/>
    <x v="4"/>
    <x v="2"/>
    <x v="1"/>
    <n v="6931"/>
    <x v="0"/>
    <n v="43293.64"/>
    <s v="Medium"/>
    <x v="0"/>
    <n v="52"/>
    <x v="2"/>
    <s v="Male"/>
    <s v="Credit"/>
    <x v="461"/>
    <s v="GBP"/>
    <x v="0"/>
    <n v="1.06E-2"/>
    <n v="1.06"/>
    <s v="low"/>
    <n v="26681.654999999999"/>
    <n v="282.82554299999998"/>
    <n v="21"/>
    <n v="602"/>
    <x v="2"/>
    <n v="1"/>
    <s v="Default"/>
    <n v="2"/>
    <n v="3024.17"/>
    <s v="Middle Income"/>
    <s v="Unemployed"/>
    <s v="Without Loan"/>
    <s v="Low-Risk"/>
  </r>
  <r>
    <s v="T000651"/>
    <s v="C7996"/>
    <s v="AC30808635"/>
    <x v="23"/>
    <x v="15"/>
    <x v="9"/>
    <x v="1"/>
    <n v="6931.96"/>
    <x v="0"/>
    <n v="41302.239999999998"/>
    <s v="Medium"/>
    <x v="4"/>
    <n v="58"/>
    <x v="2"/>
    <s v="Female"/>
    <s v="Checking"/>
    <x v="462"/>
    <s v="GBP"/>
    <x v="1"/>
    <n v="4.36E-2"/>
    <n v="4.3600000000000003"/>
    <s v="high"/>
    <n v="26681.654999999999"/>
    <n v="1163.320158"/>
    <n v="2"/>
    <n v="704"/>
    <x v="3"/>
    <n v="0"/>
    <s v="Good"/>
    <n v="3"/>
    <n v="5599.72"/>
    <s v="High Income"/>
    <s v="Employed"/>
    <s v="Without Loan"/>
    <s v="Low-Risk"/>
  </r>
  <r>
    <s v="T000652"/>
    <s v="C5673"/>
    <s v="AC48049943"/>
    <x v="81"/>
    <x v="29"/>
    <x v="10"/>
    <x v="1"/>
    <n v="9313.01"/>
    <x v="1"/>
    <n v="9493.81"/>
    <s v="Low"/>
    <x v="4"/>
    <n v="57"/>
    <x v="2"/>
    <s v="Male"/>
    <s v="Savings"/>
    <x v="41"/>
    <s v="GBP"/>
    <x v="2"/>
    <n v="3.0499999999999999E-2"/>
    <n v="3.05"/>
    <s v="low"/>
    <n v="38845.53"/>
    <n v="1184.788665"/>
    <n v="3"/>
    <n v="320"/>
    <x v="0"/>
    <n v="2"/>
    <s v="Good"/>
    <n v="1"/>
    <n v="5235.68"/>
    <s v="High Income"/>
    <s v="Self-employed"/>
    <s v="With Loan"/>
    <s v="High-Risk"/>
  </r>
  <r>
    <s v="T000653"/>
    <s v="C5530"/>
    <s v="AC61756593"/>
    <x v="373"/>
    <x v="17"/>
    <x v="4"/>
    <x v="2"/>
    <n v="5023.3900000000003"/>
    <x v="0"/>
    <n v="24805.05"/>
    <s v="Medium"/>
    <x v="1"/>
    <n v="20"/>
    <x v="4"/>
    <s v="Male"/>
    <s v="Savings"/>
    <x v="148"/>
    <s v="GBP"/>
    <x v="1"/>
    <n v="1.5599999999999999E-2"/>
    <n v="1.56"/>
    <s v="low"/>
    <n v="26681.654999999999"/>
    <n v="416.23381799999999"/>
    <n v="4"/>
    <n v="556"/>
    <x v="0"/>
    <n v="0"/>
    <s v="Good"/>
    <n v="1"/>
    <n v="5049.07"/>
    <s v="High Income"/>
    <s v="Unemployed"/>
    <s v="Without Loan"/>
    <s v="Low-Risk"/>
  </r>
  <r>
    <s v="T000654"/>
    <s v="C7881"/>
    <s v="AC70111794"/>
    <x v="326"/>
    <x v="29"/>
    <x v="2"/>
    <x v="2"/>
    <n v="2379.48"/>
    <x v="1"/>
    <n v="6729.25"/>
    <s v="Low"/>
    <x v="4"/>
    <n v="42"/>
    <x v="1"/>
    <s v="Male"/>
    <s v="Checking"/>
    <x v="463"/>
    <s v="GBP"/>
    <x v="2"/>
    <n v="1.95E-2"/>
    <n v="1.95"/>
    <s v="low"/>
    <n v="34541.22"/>
    <n v="673.55379000000005"/>
    <n v="13"/>
    <n v="698"/>
    <x v="3"/>
    <n v="2"/>
    <s v="Good"/>
    <n v="3"/>
    <n v="4505.8100000000004"/>
    <s v="Middle Income"/>
    <s v="Employed"/>
    <s v="With Loan"/>
    <s v="Low-Risk"/>
  </r>
  <r>
    <s v="T000655"/>
    <s v="C7949"/>
    <s v="AC79472863"/>
    <x v="402"/>
    <x v="9"/>
    <x v="6"/>
    <x v="0"/>
    <n v="541.17999999999995"/>
    <x v="0"/>
    <n v="34425.5"/>
    <s v="Medium"/>
    <x v="2"/>
    <n v="62"/>
    <x v="3"/>
    <s v="Male"/>
    <s v="Savings"/>
    <x v="464"/>
    <s v="USD"/>
    <x v="0"/>
    <n v="2.7900000000000001E-2"/>
    <n v="2.79"/>
    <s v="low"/>
    <n v="5830.58"/>
    <n v="162.673182"/>
    <n v="13"/>
    <n v="828"/>
    <x v="1"/>
    <n v="1"/>
    <s v="Default"/>
    <n v="5"/>
    <n v="9471.82"/>
    <s v="High Income"/>
    <s v="Unemployed"/>
    <s v="With Loan"/>
    <s v="Low-Risk"/>
  </r>
  <r>
    <s v="T000656"/>
    <s v="C7241"/>
    <s v="AC14790691"/>
    <x v="403"/>
    <x v="6"/>
    <x v="2"/>
    <x v="0"/>
    <n v="4214.8599999999997"/>
    <x v="0"/>
    <n v="47545.08"/>
    <s v="Medium"/>
    <x v="1"/>
    <n v="55"/>
    <x v="2"/>
    <s v="Male"/>
    <s v="Credit"/>
    <x v="465"/>
    <s v="USD"/>
    <x v="0"/>
    <n v="1.7600000000000001E-2"/>
    <n v="1.76"/>
    <s v="low"/>
    <n v="26681.654999999999"/>
    <n v="469.597128"/>
    <n v="10"/>
    <n v="350"/>
    <x v="0"/>
    <n v="1"/>
    <s v="Default"/>
    <n v="1"/>
    <n v="6265.35"/>
    <s v="High Income"/>
    <s v="Employed"/>
    <s v="Without Loan"/>
    <s v="Low-Risk"/>
  </r>
  <r>
    <s v="T000657"/>
    <s v="C9017"/>
    <s v="AC37950196"/>
    <x v="133"/>
    <x v="2"/>
    <x v="2"/>
    <x v="2"/>
    <n v="3088.98"/>
    <x v="1"/>
    <n v="7717.38"/>
    <s v="Low"/>
    <x v="4"/>
    <n v="62"/>
    <x v="3"/>
    <s v="Male"/>
    <s v="Credit"/>
    <x v="466"/>
    <s v="GBP"/>
    <x v="1"/>
    <n v="2.07E-2"/>
    <n v="2.0699999999999998"/>
    <s v="low"/>
    <n v="26681.654999999999"/>
    <n v="552.31025849999992"/>
    <n v="20"/>
    <n v="746"/>
    <x v="4"/>
    <n v="0"/>
    <s v="Good"/>
    <n v="4"/>
    <n v="12664.49"/>
    <s v="High Income"/>
    <s v="Employed"/>
    <s v="Without Loan"/>
    <s v="Low-Risk"/>
  </r>
  <r>
    <s v="T000658"/>
    <s v="C7941"/>
    <s v="AC98111969"/>
    <x v="269"/>
    <x v="12"/>
    <x v="4"/>
    <x v="3"/>
    <n v="7634.77"/>
    <x v="0"/>
    <n v="36960.269999999997"/>
    <s v="Medium"/>
    <x v="4"/>
    <n v="37"/>
    <x v="1"/>
    <s v="Male"/>
    <s v="Checking"/>
    <x v="467"/>
    <s v="GBP"/>
    <x v="1"/>
    <n v="3.1399999999999997E-2"/>
    <n v="3.14"/>
    <s v="low"/>
    <n v="26681.654999999999"/>
    <n v="837.80396699999994"/>
    <n v="29"/>
    <n v="569"/>
    <x v="0"/>
    <n v="0"/>
    <s v="Good"/>
    <n v="1"/>
    <n v="4391.32"/>
    <s v="Middle Income"/>
    <s v="Self-employed"/>
    <s v="Without Loan"/>
    <s v="Low-Risk"/>
  </r>
  <r>
    <s v="T000659"/>
    <s v="C8002"/>
    <s v="AC86961279"/>
    <x v="318"/>
    <x v="12"/>
    <x v="1"/>
    <x v="2"/>
    <n v="3607.25"/>
    <x v="0"/>
    <n v="31979.67"/>
    <s v="Medium"/>
    <x v="0"/>
    <n v="69"/>
    <x v="3"/>
    <s v="Female"/>
    <s v="Savings"/>
    <x v="393"/>
    <s v="USD"/>
    <x v="1"/>
    <n v="4.3299999999999998E-2"/>
    <n v="4.33"/>
    <s v="high"/>
    <n v="16767.18"/>
    <n v="726.01889399999993"/>
    <n v="2"/>
    <n v="561"/>
    <x v="0"/>
    <n v="0"/>
    <s v="Good"/>
    <n v="1"/>
    <n v="8040.15"/>
    <s v="High Income"/>
    <s v="Employed"/>
    <s v="With Loan"/>
    <s v="Low-Risk"/>
  </r>
  <r>
    <s v="T000660"/>
    <s v="C2331"/>
    <s v="AC63423843"/>
    <x v="404"/>
    <x v="28"/>
    <x v="9"/>
    <x v="1"/>
    <n v="9495.7999999999993"/>
    <x v="0"/>
    <n v="29596.65"/>
    <s v="Medium"/>
    <x v="4"/>
    <n v="61"/>
    <x v="3"/>
    <s v="Male"/>
    <s v="Credit"/>
    <x v="468"/>
    <s v="EUR"/>
    <x v="2"/>
    <n v="2.6100000000000002E-2"/>
    <n v="2.61"/>
    <s v="low"/>
    <n v="37519.120000000003"/>
    <n v="979.24903200000017"/>
    <n v="13"/>
    <n v="664"/>
    <x v="2"/>
    <n v="2"/>
    <s v="Good"/>
    <n v="2"/>
    <n v="2177.5500000000002"/>
    <s v="Low Income"/>
    <s v="Employed"/>
    <s v="With Loan"/>
    <s v="Low-Risk"/>
  </r>
  <r>
    <s v="T000661"/>
    <s v="C5261"/>
    <s v="AC27066318"/>
    <x v="280"/>
    <x v="30"/>
    <x v="1"/>
    <x v="2"/>
    <n v="9626.8700000000008"/>
    <x v="0"/>
    <n v="20115.89"/>
    <s v="Medium"/>
    <x v="3"/>
    <n v="62"/>
    <x v="3"/>
    <s v="Male"/>
    <s v="Credit"/>
    <x v="469"/>
    <s v="USD"/>
    <x v="0"/>
    <n v="3.8699999999999998E-2"/>
    <n v="3.87"/>
    <s v="low"/>
    <n v="19460.8"/>
    <n v="753.13295999999991"/>
    <n v="27"/>
    <n v="348"/>
    <x v="0"/>
    <n v="1"/>
    <s v="Default"/>
    <n v="1"/>
    <n v="8261.8700000000008"/>
    <s v="High Income"/>
    <s v="Employed"/>
    <s v="With Loan"/>
    <s v="Low-Risk"/>
  </r>
  <r>
    <s v="T000662"/>
    <s v="C8648"/>
    <s v="AC60277283"/>
    <x v="42"/>
    <x v="19"/>
    <x v="0"/>
    <x v="1"/>
    <n v="6247"/>
    <x v="1"/>
    <n v="18401.45"/>
    <s v="Medium"/>
    <x v="1"/>
    <n v="51"/>
    <x v="2"/>
    <s v="Female"/>
    <s v="Credit"/>
    <x v="434"/>
    <s v="USD"/>
    <x v="1"/>
    <n v="4.5100000000000001E-2"/>
    <n v="4.51"/>
    <s v="high"/>
    <n v="26681.654999999999"/>
    <n v="1203.3426405"/>
    <n v="13"/>
    <n v="817"/>
    <x v="1"/>
    <n v="0"/>
    <s v="Good"/>
    <n v="5"/>
    <n v="2725.9"/>
    <s v="Low Income"/>
    <s v="Self-employed"/>
    <s v="Without Loan"/>
    <s v="Low-Risk"/>
  </r>
  <r>
    <s v="T000663"/>
    <s v="C6115"/>
    <s v="AC76447109"/>
    <x v="237"/>
    <x v="16"/>
    <x v="1"/>
    <x v="0"/>
    <n v="9293.74"/>
    <x v="1"/>
    <n v="3217.21"/>
    <s v="Low"/>
    <x v="3"/>
    <n v="38"/>
    <x v="1"/>
    <s v="Female"/>
    <s v="Checking"/>
    <x v="470"/>
    <s v="USD"/>
    <x v="1"/>
    <n v="1.8700000000000001E-2"/>
    <n v="1.87"/>
    <s v="low"/>
    <n v="17819.2"/>
    <n v="333.21904000000006"/>
    <n v="5"/>
    <n v="417"/>
    <x v="0"/>
    <n v="0"/>
    <s v="Good"/>
    <n v="1"/>
    <n v="14710.41"/>
    <s v="High Income"/>
    <s v="Employed"/>
    <s v="With Loan"/>
    <s v="Low-Risk"/>
  </r>
  <r>
    <s v="T000664"/>
    <s v="C5637"/>
    <s v="AC21186361"/>
    <x v="60"/>
    <x v="8"/>
    <x v="3"/>
    <x v="3"/>
    <n v="7632.46"/>
    <x v="1"/>
    <n v="11677.53"/>
    <s v="Medium"/>
    <x v="1"/>
    <n v="65"/>
    <x v="3"/>
    <s v="Female"/>
    <s v="Checking"/>
    <x v="327"/>
    <s v="USD"/>
    <x v="1"/>
    <n v="4.2299999999999997E-2"/>
    <n v="4.2300000000000004"/>
    <s v="high"/>
    <n v="38861.29"/>
    <n v="1643.8325669999999"/>
    <n v="13"/>
    <n v="752"/>
    <x v="4"/>
    <n v="0"/>
    <s v="Good"/>
    <n v="4"/>
    <n v="12277.7"/>
    <s v="High Income"/>
    <s v="Employed"/>
    <s v="With Loan"/>
    <s v="Low-Risk"/>
  </r>
  <r>
    <s v="T000665"/>
    <s v="C5854"/>
    <s v="AC36256629"/>
    <x v="279"/>
    <x v="24"/>
    <x v="11"/>
    <x v="0"/>
    <n v="5513.91"/>
    <x v="1"/>
    <n v="1743.67"/>
    <s v="Low"/>
    <x v="0"/>
    <n v="40"/>
    <x v="1"/>
    <s v="Female"/>
    <s v="Credit"/>
    <x v="324"/>
    <s v="USD"/>
    <x v="2"/>
    <n v="4.0300000000000002E-2"/>
    <n v="4.03"/>
    <s v="high"/>
    <n v="6377.25"/>
    <n v="257.003175"/>
    <n v="13"/>
    <n v="696"/>
    <x v="3"/>
    <n v="2"/>
    <s v="Good"/>
    <n v="3"/>
    <n v="8371.4500000000007"/>
    <s v="High Income"/>
    <s v="Employed"/>
    <s v="With Loan"/>
    <s v="Low-Risk"/>
  </r>
  <r>
    <s v="T000666"/>
    <s v="C4177"/>
    <s v="AC76146940"/>
    <x v="325"/>
    <x v="30"/>
    <x v="9"/>
    <x v="1"/>
    <n v="1885.05"/>
    <x v="0"/>
    <n v="29489.439999999999"/>
    <s v="Medium"/>
    <x v="4"/>
    <n v="23"/>
    <x v="4"/>
    <s v="Male"/>
    <s v="Credit"/>
    <x v="449"/>
    <s v="EUR"/>
    <x v="1"/>
    <n v="2.4299999999999999E-2"/>
    <n v="2.4300000000000002"/>
    <s v="low"/>
    <n v="26681.654999999999"/>
    <n v="648.36421649999988"/>
    <n v="13"/>
    <n v="326"/>
    <x v="0"/>
    <n v="0"/>
    <s v="Good"/>
    <n v="1"/>
    <n v="3125.64"/>
    <s v="Middle Income"/>
    <s v="Unemployed"/>
    <s v="Without Loan"/>
    <s v="Low-Risk"/>
  </r>
  <r>
    <s v="T000667"/>
    <s v="C8730"/>
    <s v="AC47998210"/>
    <x v="405"/>
    <x v="10"/>
    <x v="0"/>
    <x v="1"/>
    <n v="4640.12"/>
    <x v="1"/>
    <n v="6186.81"/>
    <s v="Low"/>
    <x v="4"/>
    <n v="68"/>
    <x v="3"/>
    <s v="Female"/>
    <s v="Savings"/>
    <x v="471"/>
    <s v="GBP"/>
    <x v="1"/>
    <n v="4.9599999999999998E-2"/>
    <n v="4.96"/>
    <s v="high"/>
    <n v="27438.51"/>
    <n v="1360.9500959999998"/>
    <n v="4"/>
    <n v="671"/>
    <x v="3"/>
    <n v="0"/>
    <s v="Good"/>
    <n v="3"/>
    <n v="9701.7900000000009"/>
    <s v="High Income"/>
    <s v="Self-employed"/>
    <s v="With Loan"/>
    <s v="Low-Risk"/>
  </r>
  <r>
    <s v="T000668"/>
    <s v="C3180"/>
    <s v="AC38175911"/>
    <x v="406"/>
    <x v="19"/>
    <x v="8"/>
    <x v="1"/>
    <n v="5652.66"/>
    <x v="0"/>
    <n v="43777.95"/>
    <s v="Medium"/>
    <x v="4"/>
    <n v="30"/>
    <x v="0"/>
    <s v="Female"/>
    <s v="Savings"/>
    <x v="472"/>
    <s v="GBP"/>
    <x v="2"/>
    <n v="2.0500000000000001E-2"/>
    <n v="2.0499999999999998"/>
    <s v="low"/>
    <n v="7027.68"/>
    <n v="144.06744"/>
    <n v="27"/>
    <n v="396"/>
    <x v="0"/>
    <n v="2"/>
    <s v="Good"/>
    <n v="1"/>
    <n v="11863.93"/>
    <s v="High Income"/>
    <s v="Unemployed"/>
    <s v="With Loan"/>
    <s v="Low-Risk"/>
  </r>
  <r>
    <s v="T000669"/>
    <s v="C5892"/>
    <s v="AC71688718"/>
    <x v="395"/>
    <x v="19"/>
    <x v="2"/>
    <x v="3"/>
    <n v="8653.2199999999993"/>
    <x v="0"/>
    <n v="26634.01"/>
    <s v="Medium"/>
    <x v="1"/>
    <n v="66"/>
    <x v="3"/>
    <s v="Male"/>
    <s v="Savings"/>
    <x v="82"/>
    <s v="EUR"/>
    <x v="2"/>
    <n v="2.0199999999999999E-2"/>
    <n v="2.02"/>
    <s v="low"/>
    <n v="26681.654999999999"/>
    <n v="538.96943099999999"/>
    <n v="13"/>
    <n v="828"/>
    <x v="1"/>
    <n v="2"/>
    <s v="Good"/>
    <n v="5"/>
    <n v="4479.32"/>
    <s v="Middle Income"/>
    <s v="Self-employed"/>
    <s v="Without Loan"/>
    <s v="Low-Risk"/>
  </r>
  <r>
    <s v="T000670"/>
    <s v="C8043"/>
    <s v="AC83195232"/>
    <x v="149"/>
    <x v="22"/>
    <x v="5"/>
    <x v="2"/>
    <n v="4865.2"/>
    <x v="0"/>
    <n v="35284.81"/>
    <s v="Medium"/>
    <x v="4"/>
    <n v="40"/>
    <x v="1"/>
    <s v="Male"/>
    <s v="Checking"/>
    <x v="37"/>
    <s v="GBP"/>
    <x v="1"/>
    <n v="4.0899999999999999E-2"/>
    <n v="4.09"/>
    <s v="high"/>
    <n v="26681.654999999999"/>
    <n v="1091.2796894999999"/>
    <n v="24"/>
    <n v="485"/>
    <x v="0"/>
    <n v="0"/>
    <s v="Good"/>
    <n v="1"/>
    <n v="9386.7099999999991"/>
    <s v="High Income"/>
    <s v="Self-employed"/>
    <s v="Without Loan"/>
    <s v="Low-Risk"/>
  </r>
  <r>
    <s v="T000671"/>
    <s v="C1137"/>
    <s v="AC38207970"/>
    <x v="123"/>
    <x v="23"/>
    <x v="4"/>
    <x v="0"/>
    <n v="8986.98"/>
    <x v="0"/>
    <n v="21132"/>
    <s v="Medium"/>
    <x v="3"/>
    <n v="26"/>
    <x v="0"/>
    <s v="Male"/>
    <s v="Credit"/>
    <x v="473"/>
    <s v="GBP"/>
    <x v="1"/>
    <n v="2.7400000000000001E-2"/>
    <n v="2.74"/>
    <s v="low"/>
    <n v="26681.654999999999"/>
    <n v="731.07734700000003"/>
    <n v="12"/>
    <n v="514"/>
    <x v="0"/>
    <n v="0"/>
    <s v="Good"/>
    <n v="1"/>
    <n v="12584.74"/>
    <s v="High Income"/>
    <s v="Unemployed"/>
    <s v="Without Loan"/>
    <s v="Low-Risk"/>
  </r>
  <r>
    <s v="T000672"/>
    <s v="C7327"/>
    <s v="AC21950831"/>
    <x v="127"/>
    <x v="18"/>
    <x v="6"/>
    <x v="0"/>
    <n v="6776.05"/>
    <x v="0"/>
    <n v="28468.41"/>
    <s v="Medium"/>
    <x v="4"/>
    <n v="34"/>
    <x v="0"/>
    <s v="Female"/>
    <s v="Checking"/>
    <x v="474"/>
    <s v="GBP"/>
    <x v="2"/>
    <n v="2.3199999999999998E-2"/>
    <n v="2.3199999999999998"/>
    <s v="low"/>
    <n v="38288.75"/>
    <n v="888.29899999999998"/>
    <n v="13"/>
    <n v="550"/>
    <x v="0"/>
    <n v="2"/>
    <s v="Good"/>
    <n v="1"/>
    <n v="11987.22"/>
    <s v="High Income"/>
    <s v="Self-employed"/>
    <s v="With Loan"/>
    <s v="High-Risk"/>
  </r>
  <r>
    <s v="T000673"/>
    <s v="C4472"/>
    <s v="AC44812381"/>
    <x v="393"/>
    <x v="30"/>
    <x v="11"/>
    <x v="2"/>
    <n v="1456.29"/>
    <x v="0"/>
    <n v="47190.3"/>
    <s v="Medium"/>
    <x v="0"/>
    <n v="19"/>
    <x v="4"/>
    <s v="Male"/>
    <s v="Credit"/>
    <x v="420"/>
    <s v="EUR"/>
    <x v="0"/>
    <n v="1.7100000000000001E-2"/>
    <n v="1.71"/>
    <s v="low"/>
    <n v="16349"/>
    <n v="279.56790000000001"/>
    <n v="16"/>
    <n v="515"/>
    <x v="0"/>
    <n v="1"/>
    <s v="Default"/>
    <n v="1"/>
    <n v="12438.9"/>
    <s v="High Income"/>
    <s v="Self-employed"/>
    <s v="With Loan"/>
    <s v="Low-Risk"/>
  </r>
  <r>
    <s v="T000674"/>
    <s v="C6449"/>
    <s v="AC42386345"/>
    <x v="407"/>
    <x v="8"/>
    <x v="11"/>
    <x v="0"/>
    <n v="9950.32"/>
    <x v="1"/>
    <n v="5053.97"/>
    <s v="Low"/>
    <x v="3"/>
    <n v="36"/>
    <x v="1"/>
    <s v="Female"/>
    <s v="Savings"/>
    <x v="475"/>
    <s v="EUR"/>
    <x v="2"/>
    <n v="4.0599999999999997E-2"/>
    <n v="4.0599999999999996"/>
    <s v="high"/>
    <n v="16723.29"/>
    <n v="678.96557399999995"/>
    <n v="13"/>
    <n v="328"/>
    <x v="0"/>
    <n v="2"/>
    <s v="Good"/>
    <n v="1"/>
    <n v="13431.2"/>
    <s v="High Income"/>
    <s v="Unemployed"/>
    <s v="With Loan"/>
    <s v="Low-Risk"/>
  </r>
  <r>
    <s v="T000675"/>
    <s v="C3832"/>
    <s v="AC90716715"/>
    <x v="23"/>
    <x v="15"/>
    <x v="9"/>
    <x v="3"/>
    <n v="5319.6"/>
    <x v="1"/>
    <n v="13442.95"/>
    <s v="Medium"/>
    <x v="4"/>
    <n v="36"/>
    <x v="1"/>
    <s v="Male"/>
    <s v="Savings"/>
    <x v="476"/>
    <s v="GBP"/>
    <x v="0"/>
    <n v="4.1500000000000002E-2"/>
    <n v="4.1500000000000004"/>
    <s v="high"/>
    <n v="26681.654999999999"/>
    <n v="1107.2886825"/>
    <n v="17"/>
    <n v="401"/>
    <x v="0"/>
    <n v="1"/>
    <s v="Default"/>
    <n v="1"/>
    <n v="14189.87"/>
    <s v="High Income"/>
    <s v="Employed"/>
    <s v="Without Loan"/>
    <s v="Low-Risk"/>
  </r>
  <r>
    <s v="T000676"/>
    <s v="C4579"/>
    <s v="AC21360589"/>
    <x v="135"/>
    <x v="8"/>
    <x v="1"/>
    <x v="0"/>
    <n v="3979.4"/>
    <x v="0"/>
    <n v="39219.43"/>
    <s v="Medium"/>
    <x v="4"/>
    <n v="24"/>
    <x v="4"/>
    <s v="Male"/>
    <s v="Savings"/>
    <x v="136"/>
    <s v="GBP"/>
    <x v="1"/>
    <n v="3.27E-2"/>
    <n v="3.27"/>
    <s v="low"/>
    <n v="10291.98"/>
    <n v="336.54774599999996"/>
    <n v="21"/>
    <n v="422"/>
    <x v="0"/>
    <n v="0"/>
    <s v="Good"/>
    <n v="1"/>
    <n v="7271.78"/>
    <s v="High Income"/>
    <s v="Self-employed"/>
    <s v="With Loan"/>
    <s v="Low-Risk"/>
  </r>
  <r>
    <s v="T000677"/>
    <s v="C6971"/>
    <s v="AC64181889"/>
    <x v="47"/>
    <x v="2"/>
    <x v="4"/>
    <x v="1"/>
    <n v="6625.23"/>
    <x v="1"/>
    <n v="5838.12"/>
    <s v="Low"/>
    <x v="2"/>
    <n v="59"/>
    <x v="2"/>
    <s v="Female"/>
    <s v="Savings"/>
    <x v="477"/>
    <s v="GBP"/>
    <x v="1"/>
    <n v="4.8300000000000003E-2"/>
    <n v="4.83"/>
    <s v="high"/>
    <n v="26681.654999999999"/>
    <n v="1288.7239365"/>
    <n v="13"/>
    <n v="353"/>
    <x v="0"/>
    <n v="0"/>
    <s v="Good"/>
    <n v="1"/>
    <n v="9394"/>
    <s v="High Income"/>
    <s v="Unemployed"/>
    <s v="Without Loan"/>
    <s v="Low-Risk"/>
  </r>
  <r>
    <s v="T000678"/>
    <s v="C5164"/>
    <s v="AC39124900"/>
    <x v="408"/>
    <x v="22"/>
    <x v="7"/>
    <x v="2"/>
    <n v="1178.04"/>
    <x v="1"/>
    <n v="4707.3900000000003"/>
    <s v="Low"/>
    <x v="1"/>
    <n v="59"/>
    <x v="2"/>
    <s v="Male"/>
    <s v="Credit"/>
    <x v="425"/>
    <s v="USD"/>
    <x v="0"/>
    <n v="2.2700000000000001E-2"/>
    <n v="2.27"/>
    <s v="low"/>
    <n v="26681.654999999999"/>
    <n v="605.67356849999999"/>
    <n v="13"/>
    <n v="582"/>
    <x v="2"/>
    <n v="1"/>
    <s v="Default"/>
    <n v="2"/>
    <n v="12278.57"/>
    <s v="High Income"/>
    <s v="Self-employed"/>
    <s v="Without Loan"/>
    <s v="Low-Risk"/>
  </r>
  <r>
    <s v="T000679"/>
    <s v="C8941"/>
    <s v="AC55677380"/>
    <x v="69"/>
    <x v="7"/>
    <x v="1"/>
    <x v="3"/>
    <n v="6401.73"/>
    <x v="1"/>
    <n v="18715.53"/>
    <s v="Medium"/>
    <x v="3"/>
    <n v="37"/>
    <x v="1"/>
    <s v="Male"/>
    <s v="Savings"/>
    <x v="478"/>
    <s v="USD"/>
    <x v="2"/>
    <n v="1.8800000000000001E-2"/>
    <n v="1.88"/>
    <s v="low"/>
    <n v="49983.6"/>
    <n v="939.69168000000002"/>
    <n v="13"/>
    <n v="416"/>
    <x v="0"/>
    <n v="2"/>
    <s v="Good"/>
    <n v="1"/>
    <n v="11062.82"/>
    <s v="High Income"/>
    <s v="Unemployed"/>
    <s v="With Loan"/>
    <s v="High-Risk"/>
  </r>
  <r>
    <s v="T000680"/>
    <s v="C6569"/>
    <s v="AC38487589"/>
    <x v="178"/>
    <x v="16"/>
    <x v="5"/>
    <x v="2"/>
    <n v="5032.54"/>
    <x v="1"/>
    <n v="5516.23"/>
    <s v="Low"/>
    <x v="2"/>
    <n v="26"/>
    <x v="0"/>
    <s v="Male"/>
    <s v="Credit"/>
    <x v="479"/>
    <s v="USD"/>
    <x v="1"/>
    <n v="3.7100000000000001E-2"/>
    <n v="3.71"/>
    <s v="low"/>
    <n v="27308.02"/>
    <n v="1013.1275420000001"/>
    <n v="13"/>
    <n v="413"/>
    <x v="0"/>
    <n v="0"/>
    <s v="Good"/>
    <n v="1"/>
    <n v="14941.76"/>
    <s v="High Income"/>
    <s v="Employed"/>
    <s v="With Loan"/>
    <s v="Low-Risk"/>
  </r>
  <r>
    <s v="T000681"/>
    <s v="C5300"/>
    <s v="AC25648245"/>
    <x v="409"/>
    <x v="11"/>
    <x v="5"/>
    <x v="3"/>
    <n v="4126.07"/>
    <x v="0"/>
    <n v="29668.84"/>
    <s v="Medium"/>
    <x v="0"/>
    <n v="34"/>
    <x v="0"/>
    <s v="Male"/>
    <s v="Credit"/>
    <x v="437"/>
    <s v="EUR"/>
    <x v="0"/>
    <n v="4.0300000000000002E-2"/>
    <n v="4.03"/>
    <s v="high"/>
    <n v="39714.35"/>
    <n v="1600.4883050000001"/>
    <n v="2"/>
    <n v="842"/>
    <x v="1"/>
    <n v="1"/>
    <s v="Default"/>
    <n v="5"/>
    <n v="2177.81"/>
    <s v="Low Income"/>
    <s v="Self-employed"/>
    <s v="With Loan"/>
    <s v="Low-Risk"/>
  </r>
  <r>
    <s v="T000682"/>
    <s v="C7269"/>
    <s v="AC43523310"/>
    <x v="122"/>
    <x v="10"/>
    <x v="8"/>
    <x v="1"/>
    <n v="9534.9"/>
    <x v="1"/>
    <n v="12087.49"/>
    <s v="Medium"/>
    <x v="1"/>
    <n v="44"/>
    <x v="1"/>
    <s v="Male"/>
    <s v="Checking"/>
    <x v="480"/>
    <s v="GBP"/>
    <x v="2"/>
    <n v="1.9E-2"/>
    <n v="1.9E-2"/>
    <s v="low"/>
    <n v="26681.654999999999"/>
    <n v="506.95144499999998"/>
    <n v="25"/>
    <n v="592"/>
    <x v="2"/>
    <n v="2"/>
    <s v="Good"/>
    <n v="2"/>
    <n v="6616.73"/>
    <s v="High Income"/>
    <s v="Employed"/>
    <s v="Without Loan"/>
    <s v="Low-Risk"/>
  </r>
  <r>
    <s v="T000683"/>
    <s v="C4818"/>
    <s v="AC73640055"/>
    <x v="192"/>
    <x v="20"/>
    <x v="5"/>
    <x v="2"/>
    <n v="5273.14"/>
    <x v="0"/>
    <n v="44889.2"/>
    <s v="Medium"/>
    <x v="3"/>
    <n v="64"/>
    <x v="3"/>
    <s v="Female"/>
    <s v="Savings"/>
    <x v="481"/>
    <s v="EUR"/>
    <x v="0"/>
    <n v="1.3100000000000001E-2"/>
    <n v="1.31"/>
    <s v="low"/>
    <n v="26681.654999999999"/>
    <n v="349.52968049999998"/>
    <n v="4"/>
    <n v="494"/>
    <x v="0"/>
    <n v="1"/>
    <s v="Default"/>
    <n v="1"/>
    <n v="5653.36"/>
    <s v="High Income"/>
    <s v="Employed"/>
    <s v="Without Loan"/>
    <s v="Low-Risk"/>
  </r>
  <r>
    <s v="T000684"/>
    <s v="C2906"/>
    <s v="AC82648934"/>
    <x v="169"/>
    <x v="10"/>
    <x v="6"/>
    <x v="0"/>
    <n v="2269.2600000000002"/>
    <x v="0"/>
    <n v="39391.5"/>
    <s v="Medium"/>
    <x v="4"/>
    <n v="19"/>
    <x v="4"/>
    <s v="Female"/>
    <s v="Savings"/>
    <x v="482"/>
    <s v="EUR"/>
    <x v="2"/>
    <n v="4.24E-2"/>
    <n v="4.24"/>
    <s v="high"/>
    <n v="17150.09"/>
    <n v="727.163816"/>
    <n v="13"/>
    <n v="591"/>
    <x v="2"/>
    <n v="2"/>
    <s v="Good"/>
    <n v="2"/>
    <n v="5410.11"/>
    <s v="High Income"/>
    <s v="Unemployed"/>
    <s v="With Loan"/>
    <s v="Low-Risk"/>
  </r>
  <r>
    <s v="T000685"/>
    <s v="C7254"/>
    <s v="AC76500568"/>
    <x v="324"/>
    <x v="7"/>
    <x v="9"/>
    <x v="3"/>
    <n v="4643.74"/>
    <x v="0"/>
    <n v="35285.56"/>
    <s v="Medium"/>
    <x v="3"/>
    <n v="53"/>
    <x v="2"/>
    <s v="Male"/>
    <s v="Checking"/>
    <x v="326"/>
    <s v="EUR"/>
    <x v="2"/>
    <n v="4.9099999999999998E-2"/>
    <n v="4.91"/>
    <s v="high"/>
    <n v="26681.654999999999"/>
    <n v="1310.0692604999999"/>
    <n v="11"/>
    <n v="560"/>
    <x v="0"/>
    <n v="2"/>
    <s v="Good"/>
    <n v="1"/>
    <n v="4892.8900000000003"/>
    <s v="Middle Income"/>
    <s v="Self-employed"/>
    <s v="Without Loan"/>
    <s v="Low-Risk"/>
  </r>
  <r>
    <s v="T000686"/>
    <s v="C1760"/>
    <s v="AC37364435"/>
    <x v="89"/>
    <x v="16"/>
    <x v="4"/>
    <x v="2"/>
    <n v="9201.94"/>
    <x v="0"/>
    <n v="31230.26"/>
    <s v="Medium"/>
    <x v="4"/>
    <n v="36"/>
    <x v="1"/>
    <s v="Female"/>
    <s v="Credit"/>
    <x v="253"/>
    <s v="GBP"/>
    <x v="2"/>
    <n v="3.5799999999999998E-2"/>
    <n v="3.58"/>
    <s v="low"/>
    <n v="41285.99"/>
    <n v="1478.0384419999998"/>
    <n v="17"/>
    <n v="506"/>
    <x v="0"/>
    <n v="2"/>
    <s v="Good"/>
    <n v="1"/>
    <n v="11218.61"/>
    <s v="High Income"/>
    <s v="Self-employed"/>
    <s v="With Loan"/>
    <s v="High-Risk"/>
  </r>
  <r>
    <s v="T000687"/>
    <s v="C8830"/>
    <s v="AC16491878"/>
    <x v="408"/>
    <x v="22"/>
    <x v="7"/>
    <x v="0"/>
    <n v="1843.35"/>
    <x v="0"/>
    <n v="43309.82"/>
    <s v="Medium"/>
    <x v="1"/>
    <n v="34"/>
    <x v="0"/>
    <s v="Female"/>
    <s v="Savings"/>
    <x v="483"/>
    <s v="USD"/>
    <x v="2"/>
    <n v="2.1100000000000001E-2"/>
    <n v="2.11"/>
    <s v="low"/>
    <n v="12386.65"/>
    <n v="261.358315"/>
    <n v="12"/>
    <n v="348"/>
    <x v="0"/>
    <n v="2"/>
    <s v="Good"/>
    <n v="1"/>
    <n v="3101.87"/>
    <s v="Middle Income"/>
    <s v="Self-employed"/>
    <s v="With Loan"/>
    <s v="Low-Risk"/>
  </r>
  <r>
    <s v="T000688"/>
    <s v="C8350"/>
    <s v="AC41241029"/>
    <x v="80"/>
    <x v="0"/>
    <x v="3"/>
    <x v="2"/>
    <n v="2218.17"/>
    <x v="1"/>
    <n v="11930.04"/>
    <s v="Medium"/>
    <x v="4"/>
    <n v="22"/>
    <x v="4"/>
    <s v="Female"/>
    <s v="Credit"/>
    <x v="4"/>
    <s v="GBP"/>
    <x v="0"/>
    <n v="4.99E-2"/>
    <n v="4.99"/>
    <s v="high"/>
    <n v="24912.93"/>
    <n v="1243.155207"/>
    <n v="13"/>
    <n v="305"/>
    <x v="0"/>
    <n v="1"/>
    <s v="Default"/>
    <n v="1"/>
    <n v="11640.91"/>
    <s v="High Income"/>
    <s v="Self-employed"/>
    <s v="With Loan"/>
    <s v="Low-Risk"/>
  </r>
  <r>
    <s v="T000689"/>
    <s v="C7238"/>
    <s v="AC79069690"/>
    <x v="177"/>
    <x v="29"/>
    <x v="0"/>
    <x v="2"/>
    <n v="228.99"/>
    <x v="0"/>
    <n v="43782.33"/>
    <s v="Medium"/>
    <x v="0"/>
    <n v="56"/>
    <x v="2"/>
    <s v="Male"/>
    <s v="Checking"/>
    <x v="415"/>
    <s v="GBP"/>
    <x v="0"/>
    <n v="4.5699999999999998E-2"/>
    <n v="4.57"/>
    <s v="high"/>
    <n v="26681.654999999999"/>
    <n v="1219.3516334999999"/>
    <n v="13"/>
    <n v="678"/>
    <x v="3"/>
    <n v="1"/>
    <s v="Default"/>
    <n v="3"/>
    <n v="11014.54"/>
    <s v="High Income"/>
    <s v="Self-employed"/>
    <s v="Without Loan"/>
    <s v="Low-Risk"/>
  </r>
  <r>
    <s v="T000690"/>
    <s v="C7090"/>
    <s v="AC12844664"/>
    <x v="329"/>
    <x v="4"/>
    <x v="10"/>
    <x v="2"/>
    <n v="240.48"/>
    <x v="0"/>
    <n v="39685.120000000003"/>
    <s v="Medium"/>
    <x v="4"/>
    <n v="35"/>
    <x v="0"/>
    <s v="Male"/>
    <s v="Credit"/>
    <x v="427"/>
    <s v="EUR"/>
    <x v="0"/>
    <n v="3.0499999999999999E-2"/>
    <n v="3.05"/>
    <s v="low"/>
    <n v="26681.654999999999"/>
    <n v="813.79047749999995"/>
    <n v="9"/>
    <n v="693"/>
    <x v="3"/>
    <n v="1"/>
    <s v="Default"/>
    <n v="3"/>
    <n v="5260.45"/>
    <s v="High Income"/>
    <s v="Unemployed"/>
    <s v="Without Loan"/>
    <s v="Low-Risk"/>
  </r>
  <r>
    <s v="T000691"/>
    <s v="C7031"/>
    <s v="AC44932801"/>
    <x v="28"/>
    <x v="16"/>
    <x v="8"/>
    <x v="3"/>
    <n v="8310.98"/>
    <x v="0"/>
    <n v="37659.879999999997"/>
    <s v="Medium"/>
    <x v="0"/>
    <n v="24"/>
    <x v="4"/>
    <s v="Male"/>
    <s v="Savings"/>
    <x v="112"/>
    <s v="EUR"/>
    <x v="0"/>
    <n v="4.2999999999999997E-2"/>
    <n v="4.2999999999999997E-2"/>
    <s v="low"/>
    <n v="26679.01"/>
    <n v="1147.1974299999999"/>
    <n v="5"/>
    <n v="523"/>
    <x v="0"/>
    <n v="1"/>
    <s v="Default"/>
    <n v="1"/>
    <n v="5286.84"/>
    <s v="High Income"/>
    <s v="Self-employed"/>
    <s v="With Loan"/>
    <s v="Low-Risk"/>
  </r>
  <r>
    <s v="T000692"/>
    <s v="C8687"/>
    <s v="AC71144226"/>
    <x v="61"/>
    <x v="3"/>
    <x v="0"/>
    <x v="0"/>
    <n v="7348.01"/>
    <x v="0"/>
    <n v="28501.53"/>
    <s v="Medium"/>
    <x v="1"/>
    <n v="34"/>
    <x v="0"/>
    <s v="Female"/>
    <s v="Credit"/>
    <x v="484"/>
    <s v="EUR"/>
    <x v="0"/>
    <n v="4.2599999999999999E-2"/>
    <n v="4.26"/>
    <s v="high"/>
    <n v="19289.55"/>
    <n v="821.73482999999999"/>
    <n v="13"/>
    <n v="322"/>
    <x v="0"/>
    <n v="1"/>
    <s v="Default"/>
    <n v="1"/>
    <n v="10175.19"/>
    <s v="High Income"/>
    <s v="Employed"/>
    <s v="With Loan"/>
    <s v="Low-Risk"/>
  </r>
  <r>
    <s v="T000693"/>
    <s v="C9472"/>
    <s v="AC12090212"/>
    <x v="259"/>
    <x v="28"/>
    <x v="0"/>
    <x v="1"/>
    <n v="3614.91"/>
    <x v="1"/>
    <n v="13065.96"/>
    <s v="Medium"/>
    <x v="1"/>
    <n v="56"/>
    <x v="2"/>
    <s v="Female"/>
    <s v="Credit"/>
    <x v="485"/>
    <s v="USD"/>
    <x v="2"/>
    <n v="4.7399999999999998E-2"/>
    <n v="4.74"/>
    <s v="high"/>
    <n v="26681.654999999999"/>
    <n v="1264.7104469999999"/>
    <n v="13"/>
    <n v="409"/>
    <x v="0"/>
    <n v="2"/>
    <s v="Good"/>
    <n v="1"/>
    <n v="11908.22"/>
    <s v="High Income"/>
    <s v="Employed"/>
    <s v="Without Loan"/>
    <s v="Low-Risk"/>
  </r>
  <r>
    <s v="T000694"/>
    <s v="C2887"/>
    <s v="AC48785284"/>
    <x v="179"/>
    <x v="4"/>
    <x v="6"/>
    <x v="3"/>
    <n v="7013.28"/>
    <x v="0"/>
    <n v="21753.85"/>
    <s v="Medium"/>
    <x v="3"/>
    <n v="53"/>
    <x v="2"/>
    <s v="Male"/>
    <s v="Savings"/>
    <x v="486"/>
    <s v="USD"/>
    <x v="1"/>
    <n v="4.36E-2"/>
    <n v="4.3600000000000003"/>
    <s v="high"/>
    <n v="35119.9"/>
    <n v="1531.2276400000001"/>
    <n v="13"/>
    <n v="698"/>
    <x v="3"/>
    <n v="0"/>
    <s v="Good"/>
    <n v="3"/>
    <n v="13394.31"/>
    <s v="High Income"/>
    <s v="Self-employed"/>
    <s v="With Loan"/>
    <s v="Low-Risk"/>
  </r>
  <r>
    <s v="T000695"/>
    <s v="C4266"/>
    <s v="AC64503422"/>
    <x v="410"/>
    <x v="16"/>
    <x v="9"/>
    <x v="3"/>
    <n v="4012.54"/>
    <x v="0"/>
    <n v="39884.959999999999"/>
    <s v="Medium"/>
    <x v="0"/>
    <n v="57"/>
    <x v="2"/>
    <s v="Male"/>
    <s v="Savings"/>
    <x v="487"/>
    <s v="USD"/>
    <x v="1"/>
    <n v="3.5700000000000003E-2"/>
    <n v="3.57"/>
    <s v="low"/>
    <n v="26681.654999999999"/>
    <n v="952.53508350000004"/>
    <n v="13"/>
    <n v="471"/>
    <x v="0"/>
    <n v="0"/>
    <s v="Good"/>
    <n v="1"/>
    <n v="13077.81"/>
    <s v="High Income"/>
    <s v="Unemployed"/>
    <s v="Without Loan"/>
    <s v="Low-Risk"/>
  </r>
  <r>
    <s v="T000696"/>
    <s v="C1666"/>
    <s v="AC31320139"/>
    <x v="411"/>
    <x v="10"/>
    <x v="4"/>
    <x v="3"/>
    <n v="9533.68"/>
    <x v="1"/>
    <n v="2557.15"/>
    <s v="Low"/>
    <x v="0"/>
    <n v="62"/>
    <x v="3"/>
    <s v="Female"/>
    <s v="Credit"/>
    <x v="488"/>
    <s v="GBP"/>
    <x v="0"/>
    <n v="3.44E-2"/>
    <n v="3.44"/>
    <s v="low"/>
    <n v="15451.96"/>
    <n v="531.54742399999998"/>
    <n v="28"/>
    <n v="605"/>
    <x v="2"/>
    <n v="1"/>
    <s v="Default"/>
    <n v="2"/>
    <n v="14543.48"/>
    <s v="High Income"/>
    <s v="Unemployed"/>
    <s v="With Loan"/>
    <s v="Low-Risk"/>
  </r>
  <r>
    <s v="T000697"/>
    <s v="C5188"/>
    <s v="AC35227191"/>
    <x v="115"/>
    <x v="15"/>
    <x v="2"/>
    <x v="1"/>
    <n v="9673.82"/>
    <x v="0"/>
    <n v="39320.49"/>
    <s v="Medium"/>
    <x v="2"/>
    <n v="21"/>
    <x v="4"/>
    <s v="Female"/>
    <s v="Credit"/>
    <x v="226"/>
    <s v="EUR"/>
    <x v="0"/>
    <n v="2.87E-2"/>
    <n v="2.87"/>
    <s v="low"/>
    <n v="26681.654999999999"/>
    <n v="765.76349849999997"/>
    <n v="13"/>
    <n v="450"/>
    <x v="0"/>
    <n v="1"/>
    <s v="Default"/>
    <n v="1"/>
    <n v="9558"/>
    <s v="High Income"/>
    <s v="Self-employed"/>
    <s v="Without Loan"/>
    <s v="Low-Risk"/>
  </r>
  <r>
    <s v="T000698"/>
    <s v="C1671"/>
    <s v="AC14600108"/>
    <x v="412"/>
    <x v="12"/>
    <x v="9"/>
    <x v="0"/>
    <n v="3988.66"/>
    <x v="1"/>
    <n v="12763.47"/>
    <s v="Medium"/>
    <x v="2"/>
    <n v="55"/>
    <x v="2"/>
    <s v="Male"/>
    <s v="Checking"/>
    <x v="433"/>
    <s v="GBP"/>
    <x v="1"/>
    <n v="3.5099999999999999E-2"/>
    <n v="3.51"/>
    <s v="low"/>
    <n v="43825.48"/>
    <n v="1538.2743480000001"/>
    <n v="23"/>
    <n v="727"/>
    <x v="3"/>
    <n v="0"/>
    <s v="Good"/>
    <n v="3"/>
    <n v="13812.52"/>
    <s v="High Income"/>
    <s v="Employed"/>
    <s v="With Loan"/>
    <s v="Low-Risk"/>
  </r>
  <r>
    <s v="T000699"/>
    <s v="C7777"/>
    <s v="AC88502806"/>
    <x v="3"/>
    <x v="3"/>
    <x v="1"/>
    <x v="0"/>
    <n v="8556.7999999999993"/>
    <x v="1"/>
    <n v="8071.15"/>
    <s v="Low"/>
    <x v="2"/>
    <n v="42"/>
    <x v="1"/>
    <s v="Female"/>
    <s v="Savings"/>
    <x v="489"/>
    <s v="USD"/>
    <x v="2"/>
    <n v="4.1799999999999997E-2"/>
    <n v="4.18"/>
    <s v="high"/>
    <n v="26681.654999999999"/>
    <n v="1115.2931789999998"/>
    <n v="13"/>
    <n v="766"/>
    <x v="4"/>
    <n v="2"/>
    <s v="Good"/>
    <n v="4"/>
    <n v="12510.67"/>
    <s v="High Income"/>
    <s v="Self-employed"/>
    <s v="Without Loan"/>
    <s v="Low-Risk"/>
  </r>
  <r>
    <s v="T000700"/>
    <s v="C8570"/>
    <s v="AC79963054"/>
    <x v="413"/>
    <x v="4"/>
    <x v="1"/>
    <x v="0"/>
    <n v="7753.58"/>
    <x v="1"/>
    <n v="6669.36"/>
    <s v="Low"/>
    <x v="4"/>
    <n v="22"/>
    <x v="4"/>
    <s v="Female"/>
    <s v="Credit"/>
    <x v="280"/>
    <s v="EUR"/>
    <x v="0"/>
    <n v="4.8800000000000003E-2"/>
    <n v="4.88"/>
    <s v="high"/>
    <n v="24496.28"/>
    <n v="1195.4184640000001"/>
    <n v="20"/>
    <n v="366"/>
    <x v="0"/>
    <n v="1"/>
    <s v="Default"/>
    <n v="1"/>
    <n v="13630.68"/>
    <s v="High Income"/>
    <s v="Self-employed"/>
    <s v="With Loan"/>
    <s v="Low-Risk"/>
  </r>
  <r>
    <s v="T000701"/>
    <s v="C8956"/>
    <s v="AC78393246"/>
    <x v="296"/>
    <x v="23"/>
    <x v="8"/>
    <x v="2"/>
    <n v="3169"/>
    <x v="1"/>
    <n v="2335.25"/>
    <s v="Low"/>
    <x v="2"/>
    <n v="47"/>
    <x v="2"/>
    <s v="Female"/>
    <s v="Savings"/>
    <x v="490"/>
    <s v="USD"/>
    <x v="2"/>
    <n v="2.87E-2"/>
    <n v="2.87"/>
    <s v="low"/>
    <n v="26681.654999999999"/>
    <n v="765.76349849999997"/>
    <n v="27"/>
    <n v="455"/>
    <x v="0"/>
    <n v="2"/>
    <s v="Good"/>
    <n v="1"/>
    <n v="2151.15"/>
    <s v="Low Income"/>
    <s v="Self-employed"/>
    <s v="Without Loan"/>
    <s v="Low-Risk"/>
  </r>
  <r>
    <s v="T000702"/>
    <s v="C6124"/>
    <s v="AC84304906"/>
    <x v="414"/>
    <x v="3"/>
    <x v="8"/>
    <x v="2"/>
    <n v="2397.19"/>
    <x v="0"/>
    <n v="26655.74"/>
    <s v="Medium"/>
    <x v="0"/>
    <n v="29"/>
    <x v="0"/>
    <s v="Female"/>
    <s v="Checking"/>
    <x v="491"/>
    <s v="EUR"/>
    <x v="1"/>
    <n v="3.2899999999999999E-2"/>
    <n v="3.29"/>
    <s v="low"/>
    <n v="26681.654999999999"/>
    <n v="877.82644949999997"/>
    <n v="13"/>
    <n v="505"/>
    <x v="0"/>
    <n v="0"/>
    <s v="Good"/>
    <n v="1"/>
    <n v="14556.74"/>
    <s v="High Income"/>
    <s v="Unemployed"/>
    <s v="Without Loan"/>
    <s v="Low-Risk"/>
  </r>
  <r>
    <s v="T000703"/>
    <s v="C6585"/>
    <s v="AC47407753"/>
    <x v="408"/>
    <x v="22"/>
    <x v="7"/>
    <x v="2"/>
    <n v="4636.5200000000004"/>
    <x v="1"/>
    <n v="11694.73"/>
    <s v="Medium"/>
    <x v="4"/>
    <n v="21"/>
    <x v="4"/>
    <s v="Female"/>
    <s v="Credit"/>
    <x v="138"/>
    <s v="EUR"/>
    <x v="1"/>
    <n v="2.7799999999999998E-2"/>
    <n v="2.78"/>
    <s v="low"/>
    <n v="26681.654999999999"/>
    <n v="741.75000899999998"/>
    <n v="22"/>
    <n v="454"/>
    <x v="0"/>
    <n v="0"/>
    <s v="Good"/>
    <n v="1"/>
    <n v="8155.89"/>
    <s v="High Income"/>
    <s v="Unemployed"/>
    <s v="Without Loan"/>
    <s v="Low-Risk"/>
  </r>
  <r>
    <s v="T000704"/>
    <s v="C5777"/>
    <s v="AC57230658"/>
    <x v="92"/>
    <x v="21"/>
    <x v="2"/>
    <x v="1"/>
    <n v="7835.35"/>
    <x v="0"/>
    <n v="49482.16"/>
    <s v="Medium"/>
    <x v="1"/>
    <n v="41"/>
    <x v="1"/>
    <s v="Female"/>
    <s v="Credit"/>
    <x v="146"/>
    <s v="GBP"/>
    <x v="0"/>
    <n v="3.6700000000000003E-2"/>
    <n v="3.67"/>
    <s v="low"/>
    <n v="26681.654999999999"/>
    <n v="979.21673850000002"/>
    <n v="21"/>
    <n v="808"/>
    <x v="1"/>
    <n v="1"/>
    <s v="Default"/>
    <n v="5"/>
    <n v="12376.38"/>
    <s v="High Income"/>
    <s v="Employed"/>
    <s v="Without Loan"/>
    <s v="Low-Risk"/>
  </r>
  <r>
    <s v="T000705"/>
    <s v="C4900"/>
    <s v="AC29432053"/>
    <x v="245"/>
    <x v="19"/>
    <x v="3"/>
    <x v="2"/>
    <n v="9605.66"/>
    <x v="0"/>
    <n v="29147.4"/>
    <s v="Medium"/>
    <x v="3"/>
    <n v="46"/>
    <x v="2"/>
    <s v="Female"/>
    <s v="Credit"/>
    <x v="96"/>
    <s v="GBP"/>
    <x v="2"/>
    <n v="3.5200000000000002E-2"/>
    <n v="3.52"/>
    <s v="low"/>
    <n v="35215.61"/>
    <n v="1239.5894720000001"/>
    <n v="29"/>
    <n v="373"/>
    <x v="0"/>
    <n v="2"/>
    <s v="Good"/>
    <n v="1"/>
    <n v="3653.65"/>
    <s v="Middle Income"/>
    <s v="Employed"/>
    <s v="With Loan"/>
    <s v="High-Risk"/>
  </r>
  <r>
    <s v="T000706"/>
    <s v="C7677"/>
    <s v="AC68016013"/>
    <x v="415"/>
    <x v="22"/>
    <x v="1"/>
    <x v="1"/>
    <n v="7659.43"/>
    <x v="1"/>
    <n v="7756.38"/>
    <s v="Low"/>
    <x v="2"/>
    <n v="26"/>
    <x v="0"/>
    <s v="Male"/>
    <s v="Savings"/>
    <x v="117"/>
    <s v="USD"/>
    <x v="0"/>
    <n v="1.0699999999999999E-2"/>
    <n v="1.07"/>
    <s v="low"/>
    <n v="26681.654999999999"/>
    <n v="285.49370849999997"/>
    <n v="13"/>
    <n v="348"/>
    <x v="0"/>
    <n v="1"/>
    <s v="Default"/>
    <n v="1"/>
    <n v="7147.23"/>
    <s v="High Income"/>
    <s v="Self-employed"/>
    <s v="Without Loan"/>
    <s v="Low-Risk"/>
  </r>
  <r>
    <s v="T000707"/>
    <s v="C7981"/>
    <s v="AC88981711"/>
    <x v="15"/>
    <x v="11"/>
    <x v="2"/>
    <x v="0"/>
    <n v="8566.5499999999993"/>
    <x v="0"/>
    <n v="34749.360000000001"/>
    <s v="Medium"/>
    <x v="1"/>
    <n v="21"/>
    <x v="4"/>
    <s v="Male"/>
    <s v="Checking"/>
    <x v="492"/>
    <s v="GBP"/>
    <x v="1"/>
    <n v="3.1600000000000003E-2"/>
    <n v="3.16"/>
    <s v="low"/>
    <n v="26681.654999999999"/>
    <n v="843.14029800000003"/>
    <n v="13"/>
    <n v="766"/>
    <x v="4"/>
    <n v="0"/>
    <s v="Good"/>
    <n v="4"/>
    <n v="5528.99"/>
    <s v="High Income"/>
    <s v="Employed"/>
    <s v="Without Loan"/>
    <s v="Low-Risk"/>
  </r>
  <r>
    <s v="T000708"/>
    <s v="C7376"/>
    <s v="AC94928457"/>
    <x v="267"/>
    <x v="14"/>
    <x v="0"/>
    <x v="2"/>
    <n v="6070.34"/>
    <x v="0"/>
    <n v="44989.43"/>
    <s v="Medium"/>
    <x v="0"/>
    <n v="68"/>
    <x v="3"/>
    <s v="Female"/>
    <s v="Savings"/>
    <x v="194"/>
    <s v="GBP"/>
    <x v="2"/>
    <n v="1.35E-2"/>
    <n v="1.35"/>
    <s v="low"/>
    <n v="36464.39"/>
    <n v="492.26926499999996"/>
    <n v="13"/>
    <n v="478"/>
    <x v="0"/>
    <n v="2"/>
    <s v="Good"/>
    <n v="1"/>
    <n v="5791.56"/>
    <s v="High Income"/>
    <s v="Self-employed"/>
    <s v="With Loan"/>
    <s v="High-Risk"/>
  </r>
  <r>
    <s v="T000709"/>
    <s v="C1523"/>
    <s v="AC58436828"/>
    <x v="65"/>
    <x v="3"/>
    <x v="2"/>
    <x v="2"/>
    <n v="8370.5400000000009"/>
    <x v="0"/>
    <n v="37513.800000000003"/>
    <s v="Medium"/>
    <x v="3"/>
    <n v="41"/>
    <x v="1"/>
    <s v="Female"/>
    <s v="Credit"/>
    <x v="493"/>
    <s v="GBP"/>
    <x v="0"/>
    <n v="1.11E-2"/>
    <n v="1.1100000000000001"/>
    <s v="low"/>
    <n v="26681.654999999999"/>
    <n v="296.16637050000003"/>
    <n v="3"/>
    <n v="347"/>
    <x v="0"/>
    <n v="1"/>
    <s v="Default"/>
    <n v="1"/>
    <n v="3602.32"/>
    <s v="Middle Income"/>
    <s v="Employed"/>
    <s v="Without Loan"/>
    <s v="Low-Risk"/>
  </r>
  <r>
    <s v="T000710"/>
    <s v="C3393"/>
    <s v="AC66437579"/>
    <x v="416"/>
    <x v="19"/>
    <x v="4"/>
    <x v="3"/>
    <n v="7865.77"/>
    <x v="1"/>
    <n v="4745.55"/>
    <s v="Low"/>
    <x v="1"/>
    <n v="31"/>
    <x v="0"/>
    <s v="Female"/>
    <s v="Checking"/>
    <x v="208"/>
    <s v="EUR"/>
    <x v="0"/>
    <n v="4.1599999999999998E-2"/>
    <n v="4.16"/>
    <s v="high"/>
    <n v="23486.42"/>
    <n v="977.0350719999999"/>
    <n v="5"/>
    <n v="371"/>
    <x v="0"/>
    <n v="1"/>
    <s v="Default"/>
    <n v="1"/>
    <n v="12474.93"/>
    <s v="High Income"/>
    <s v="Self-employed"/>
    <s v="With Loan"/>
    <s v="Low-Risk"/>
  </r>
  <r>
    <s v="T000711"/>
    <s v="C3593"/>
    <s v="AC80366045"/>
    <x v="308"/>
    <x v="24"/>
    <x v="1"/>
    <x v="1"/>
    <n v="3832.16"/>
    <x v="0"/>
    <n v="44898.32"/>
    <s v="Medium"/>
    <x v="3"/>
    <n v="22"/>
    <x v="4"/>
    <s v="Male"/>
    <s v="Credit"/>
    <x v="174"/>
    <s v="GBP"/>
    <x v="0"/>
    <n v="2.0299999999999999E-2"/>
    <n v="2.0299999999999998"/>
    <s v="low"/>
    <n v="26681.654999999999"/>
    <n v="541.63759649999997"/>
    <n v="9"/>
    <n v="412"/>
    <x v="0"/>
    <n v="1"/>
    <s v="Default"/>
    <n v="1"/>
    <n v="2120.15"/>
    <s v="Low Income"/>
    <s v="Unemployed"/>
    <s v="Without Loan"/>
    <s v="Low-Risk"/>
  </r>
  <r>
    <s v="T000712"/>
    <s v="C8240"/>
    <s v="AC99148776"/>
    <x v="44"/>
    <x v="22"/>
    <x v="0"/>
    <x v="0"/>
    <n v="5564.7"/>
    <x v="0"/>
    <n v="39902.54"/>
    <s v="Medium"/>
    <x v="2"/>
    <n v="35"/>
    <x v="0"/>
    <s v="Male"/>
    <s v="Credit"/>
    <x v="204"/>
    <s v="USD"/>
    <x v="1"/>
    <n v="2.3599999999999999E-2"/>
    <n v="2.36"/>
    <s v="low"/>
    <n v="26681.654999999999"/>
    <n v="629.68705799999998"/>
    <n v="7"/>
    <n v="458"/>
    <x v="0"/>
    <n v="0"/>
    <s v="Good"/>
    <n v="1"/>
    <n v="6062.57"/>
    <s v="High Income"/>
    <s v="Self-employed"/>
    <s v="Without Loan"/>
    <s v="Low-Risk"/>
  </r>
  <r>
    <s v="T000713"/>
    <s v="C7937"/>
    <s v="AC61255428"/>
    <x v="417"/>
    <x v="17"/>
    <x v="11"/>
    <x v="3"/>
    <n v="8067.06"/>
    <x v="1"/>
    <n v="8756.89"/>
    <s v="Low"/>
    <x v="0"/>
    <n v="59"/>
    <x v="2"/>
    <s v="Female"/>
    <s v="Savings"/>
    <x v="494"/>
    <s v="EUR"/>
    <x v="0"/>
    <n v="1.26E-2"/>
    <n v="1.26"/>
    <s v="low"/>
    <n v="26681.654999999999"/>
    <n v="336.18885299999999"/>
    <n v="13"/>
    <n v="329"/>
    <x v="0"/>
    <n v="1"/>
    <s v="Default"/>
    <n v="1"/>
    <n v="4267.34"/>
    <s v="Middle Income"/>
    <s v="Unemployed"/>
    <s v="Without Loan"/>
    <s v="Low-Risk"/>
  </r>
  <r>
    <s v="T000714"/>
    <s v="C7190"/>
    <s v="AC57602635"/>
    <x v="94"/>
    <x v="7"/>
    <x v="0"/>
    <x v="3"/>
    <n v="555.96"/>
    <x v="1"/>
    <n v="3537.51"/>
    <s v="Low"/>
    <x v="3"/>
    <n v="36"/>
    <x v="1"/>
    <s v="Male"/>
    <s v="Credit"/>
    <x v="276"/>
    <s v="EUR"/>
    <x v="2"/>
    <n v="1.72E-2"/>
    <n v="1.72"/>
    <s v="low"/>
    <n v="26681.654999999999"/>
    <n v="458.924466"/>
    <n v="4"/>
    <n v="396"/>
    <x v="0"/>
    <n v="2"/>
    <s v="Good"/>
    <n v="1"/>
    <n v="9657.51"/>
    <s v="High Income"/>
    <s v="Unemployed"/>
    <s v="Without Loan"/>
    <s v="Low-Risk"/>
  </r>
  <r>
    <s v="T000715"/>
    <s v="C6240"/>
    <s v="AC92795008"/>
    <x v="231"/>
    <x v="0"/>
    <x v="6"/>
    <x v="0"/>
    <n v="8099.98"/>
    <x v="0"/>
    <n v="28308.22"/>
    <s v="Medium"/>
    <x v="1"/>
    <n v="29"/>
    <x v="0"/>
    <s v="Female"/>
    <s v="Checking"/>
    <x v="495"/>
    <s v="GBP"/>
    <x v="0"/>
    <n v="4.0599999999999997E-2"/>
    <n v="4.0599999999999996"/>
    <s v="high"/>
    <n v="26681.654999999999"/>
    <n v="1083.2751929999999"/>
    <n v="7"/>
    <n v="550"/>
    <x v="0"/>
    <n v="1"/>
    <s v="Default"/>
    <n v="1"/>
    <n v="5305.28"/>
    <s v="High Income"/>
    <s v="Employed"/>
    <s v="Without Loan"/>
    <s v="Low-Risk"/>
  </r>
  <r>
    <s v="T000716"/>
    <s v="C7493"/>
    <s v="AC20856760"/>
    <x v="418"/>
    <x v="18"/>
    <x v="10"/>
    <x v="3"/>
    <n v="1861.09"/>
    <x v="1"/>
    <n v="8645.75"/>
    <s v="Low"/>
    <x v="2"/>
    <n v="35"/>
    <x v="0"/>
    <s v="Female"/>
    <s v="Credit"/>
    <x v="496"/>
    <s v="EUR"/>
    <x v="1"/>
    <n v="2.9700000000000001E-2"/>
    <n v="2.97"/>
    <s v="low"/>
    <n v="26681.654999999999"/>
    <n v="792.44515349999995"/>
    <n v="5"/>
    <n v="818"/>
    <x v="1"/>
    <n v="0"/>
    <s v="Good"/>
    <n v="5"/>
    <n v="5366.98"/>
    <s v="High Income"/>
    <s v="Employed"/>
    <s v="Without Loan"/>
    <s v="Low-Risk"/>
  </r>
  <r>
    <s v="T000717"/>
    <s v="C3878"/>
    <s v="AC56350911"/>
    <x v="329"/>
    <x v="4"/>
    <x v="10"/>
    <x v="1"/>
    <n v="5195.37"/>
    <x v="0"/>
    <n v="41894.959999999999"/>
    <s v="Medium"/>
    <x v="2"/>
    <n v="34"/>
    <x v="0"/>
    <s v="Female"/>
    <s v="Credit"/>
    <x v="12"/>
    <s v="USD"/>
    <x v="0"/>
    <n v="4.5199999999999997E-2"/>
    <n v="4.5199999999999996"/>
    <s v="high"/>
    <n v="18542.849999999999"/>
    <n v="838.13681999999983"/>
    <n v="13"/>
    <n v="391"/>
    <x v="0"/>
    <n v="1"/>
    <s v="Default"/>
    <n v="1"/>
    <n v="8348.4"/>
    <s v="High Income"/>
    <s v="Unemployed"/>
    <s v="With Loan"/>
    <s v="Low-Risk"/>
  </r>
  <r>
    <s v="T000718"/>
    <s v="C5143"/>
    <s v="AC76575221"/>
    <x v="350"/>
    <x v="6"/>
    <x v="4"/>
    <x v="1"/>
    <n v="8101.93"/>
    <x v="1"/>
    <n v="18558.400000000001"/>
    <s v="Medium"/>
    <x v="1"/>
    <n v="47"/>
    <x v="2"/>
    <s v="Female"/>
    <s v="Savings"/>
    <x v="139"/>
    <s v="USD"/>
    <x v="1"/>
    <n v="2.5899999999999999E-2"/>
    <n v="2.59"/>
    <s v="low"/>
    <n v="29272.07"/>
    <n v="758.146613"/>
    <n v="29"/>
    <n v="412"/>
    <x v="0"/>
    <n v="0"/>
    <s v="Good"/>
    <n v="1"/>
    <n v="10484.959999999999"/>
    <s v="High Income"/>
    <s v="Self-employed"/>
    <s v="With Loan"/>
    <s v="Low-Risk"/>
  </r>
  <r>
    <s v="T000719"/>
    <s v="C4644"/>
    <s v="AC58830419"/>
    <x v="15"/>
    <x v="11"/>
    <x v="2"/>
    <x v="2"/>
    <n v="2612.83"/>
    <x v="0"/>
    <n v="45731.73"/>
    <s v="Medium"/>
    <x v="1"/>
    <n v="41"/>
    <x v="1"/>
    <s v="Female"/>
    <s v="Checking"/>
    <x v="124"/>
    <s v="EUR"/>
    <x v="1"/>
    <n v="2.07E-2"/>
    <n v="2.0699999999999998"/>
    <s v="low"/>
    <n v="26681.654999999999"/>
    <n v="552.31025849999992"/>
    <n v="13"/>
    <n v="558"/>
    <x v="0"/>
    <n v="0"/>
    <s v="Good"/>
    <n v="1"/>
    <n v="3576.96"/>
    <s v="Middle Income"/>
    <s v="Self-employed"/>
    <s v="Without Loan"/>
    <s v="Low-Risk"/>
  </r>
  <r>
    <s v="T000720"/>
    <s v="C5432"/>
    <s v="AC28720027"/>
    <x v="320"/>
    <x v="25"/>
    <x v="4"/>
    <x v="3"/>
    <n v="2533.4899999999998"/>
    <x v="0"/>
    <n v="28718.720000000001"/>
    <s v="Medium"/>
    <x v="3"/>
    <n v="28"/>
    <x v="0"/>
    <s v="Female"/>
    <s v="Savings"/>
    <x v="149"/>
    <s v="GBP"/>
    <x v="2"/>
    <n v="2.3900000000000001E-2"/>
    <n v="2.39"/>
    <s v="low"/>
    <n v="26681.654999999999"/>
    <n v="637.69155450000005"/>
    <n v="13"/>
    <n v="406"/>
    <x v="0"/>
    <n v="2"/>
    <s v="Good"/>
    <n v="1"/>
    <n v="4281.6499999999996"/>
    <s v="Middle Income"/>
    <s v="Employed"/>
    <s v="Without Loan"/>
    <s v="Low-Risk"/>
  </r>
  <r>
    <s v="T000721"/>
    <s v="C2276"/>
    <s v="AC33284856"/>
    <x v="419"/>
    <x v="20"/>
    <x v="9"/>
    <x v="2"/>
    <n v="4087.37"/>
    <x v="1"/>
    <n v="9950.9500000000007"/>
    <s v="Low"/>
    <x v="4"/>
    <n v="52"/>
    <x v="2"/>
    <s v="Female"/>
    <s v="Credit"/>
    <x v="271"/>
    <s v="GBP"/>
    <x v="2"/>
    <n v="3.85E-2"/>
    <n v="3.85"/>
    <s v="low"/>
    <n v="21037.21"/>
    <n v="809.9325849999999"/>
    <n v="13"/>
    <n v="689"/>
    <x v="3"/>
    <n v="2"/>
    <s v="Good"/>
    <n v="3"/>
    <n v="5213.2700000000004"/>
    <s v="High Income"/>
    <s v="Self-employed"/>
    <s v="With Loan"/>
    <s v="Low-Risk"/>
  </r>
  <r>
    <s v="T000722"/>
    <s v="C6811"/>
    <s v="AC60629738"/>
    <x v="420"/>
    <x v="27"/>
    <x v="2"/>
    <x v="3"/>
    <n v="8956.9599999999991"/>
    <x v="1"/>
    <n v="7840.34"/>
    <s v="Low"/>
    <x v="2"/>
    <n v="40"/>
    <x v="1"/>
    <s v="Male"/>
    <s v="Savings"/>
    <x v="497"/>
    <s v="EUR"/>
    <x v="0"/>
    <n v="3.2199999999999999E-2"/>
    <n v="3.22"/>
    <s v="low"/>
    <n v="16526.79"/>
    <n v="532.16263800000002"/>
    <n v="22"/>
    <n v="657"/>
    <x v="2"/>
    <n v="1"/>
    <s v="Default"/>
    <n v="2"/>
    <n v="14658.73"/>
    <s v="High Income"/>
    <s v="Self-employed"/>
    <s v="With Loan"/>
    <s v="Low-Risk"/>
  </r>
  <r>
    <s v="T000723"/>
    <s v="C1302"/>
    <s v="AC85814820"/>
    <x v="421"/>
    <x v="26"/>
    <x v="4"/>
    <x v="1"/>
    <n v="104.38"/>
    <x v="0"/>
    <n v="29247.15"/>
    <s v="Medium"/>
    <x v="3"/>
    <n v="34"/>
    <x v="0"/>
    <s v="Female"/>
    <s v="Savings"/>
    <x v="246"/>
    <s v="USD"/>
    <x v="1"/>
    <n v="4.6199999999999998E-2"/>
    <n v="4.62"/>
    <s v="high"/>
    <n v="26681.654999999999"/>
    <n v="1232.6924609999999"/>
    <n v="16"/>
    <n v="498"/>
    <x v="0"/>
    <n v="0"/>
    <s v="Good"/>
    <n v="1"/>
    <n v="7162.98"/>
    <s v="High Income"/>
    <s v="Self-employed"/>
    <s v="Without Loan"/>
    <s v="Low-Risk"/>
  </r>
  <r>
    <s v="T000724"/>
    <s v="C1638"/>
    <s v="AC65757486"/>
    <x v="370"/>
    <x v="1"/>
    <x v="9"/>
    <x v="1"/>
    <n v="9023.69"/>
    <x v="0"/>
    <n v="38332.300000000003"/>
    <s v="Medium"/>
    <x v="1"/>
    <n v="18"/>
    <x v="4"/>
    <s v="Male"/>
    <s v="Savings"/>
    <x v="334"/>
    <s v="EUR"/>
    <x v="1"/>
    <n v="3.4099999999999998E-2"/>
    <n v="3.41"/>
    <s v="low"/>
    <n v="26681.654999999999"/>
    <n v="909.84443549999992"/>
    <n v="7"/>
    <n v="726"/>
    <x v="3"/>
    <n v="0"/>
    <s v="Good"/>
    <n v="3"/>
    <n v="9786.8700000000008"/>
    <s v="High Income"/>
    <s v="Unemployed"/>
    <s v="Without Loan"/>
    <s v="Low-Risk"/>
  </r>
  <r>
    <s v="T000725"/>
    <s v="C1055"/>
    <s v="AC42446436"/>
    <x v="299"/>
    <x v="7"/>
    <x v="9"/>
    <x v="1"/>
    <n v="1622.69"/>
    <x v="0"/>
    <n v="39293.78"/>
    <s v="Medium"/>
    <x v="3"/>
    <n v="32"/>
    <x v="0"/>
    <s v="Female"/>
    <s v="Savings"/>
    <x v="31"/>
    <s v="GBP"/>
    <x v="2"/>
    <n v="2.9700000000000001E-2"/>
    <n v="2.97"/>
    <s v="low"/>
    <n v="26681.654999999999"/>
    <n v="792.44515349999995"/>
    <n v="13"/>
    <n v="777"/>
    <x v="4"/>
    <n v="2"/>
    <s v="Good"/>
    <n v="4"/>
    <n v="5140.0600000000004"/>
    <s v="High Income"/>
    <s v="Unemployed"/>
    <s v="Without Loan"/>
    <s v="Low-Risk"/>
  </r>
  <r>
    <s v="T000726"/>
    <s v="C9717"/>
    <s v="AC19714891"/>
    <x v="363"/>
    <x v="14"/>
    <x v="5"/>
    <x v="3"/>
    <n v="9901.86"/>
    <x v="1"/>
    <n v="14512.11"/>
    <s v="Medium"/>
    <x v="1"/>
    <n v="49"/>
    <x v="2"/>
    <s v="Female"/>
    <s v="Credit"/>
    <x v="498"/>
    <s v="GBP"/>
    <x v="2"/>
    <n v="4.1399999999999999E-2"/>
    <n v="4.1399999999999997"/>
    <s v="high"/>
    <n v="26681.654999999999"/>
    <n v="1104.6205169999998"/>
    <n v="13"/>
    <n v="802"/>
    <x v="1"/>
    <n v="2"/>
    <s v="Good"/>
    <n v="5"/>
    <n v="8375.9699999999993"/>
    <s v="High Income"/>
    <s v="Self-employed"/>
    <s v="Without Loan"/>
    <s v="Low-Risk"/>
  </r>
  <r>
    <s v="T000727"/>
    <s v="C9150"/>
    <s v="AC35258148"/>
    <x v="422"/>
    <x v="9"/>
    <x v="1"/>
    <x v="1"/>
    <n v="9552.99"/>
    <x v="1"/>
    <n v="11008.09"/>
    <s v="Medium"/>
    <x v="0"/>
    <n v="26"/>
    <x v="0"/>
    <s v="Male"/>
    <s v="Credit"/>
    <x v="499"/>
    <s v="EUR"/>
    <x v="0"/>
    <n v="4.7899999999999998E-2"/>
    <n v="4.79"/>
    <s v="high"/>
    <n v="26681.654999999999"/>
    <n v="1278.0512744999999"/>
    <n v="13"/>
    <n v="419"/>
    <x v="0"/>
    <n v="1"/>
    <s v="Default"/>
    <n v="1"/>
    <n v="2963.55"/>
    <s v="Low Income"/>
    <s v="Employed"/>
    <s v="Without Loan"/>
    <s v="Low-Risk"/>
  </r>
  <r>
    <s v="T000728"/>
    <s v="C3125"/>
    <s v="AC12320688"/>
    <x v="343"/>
    <x v="6"/>
    <x v="0"/>
    <x v="3"/>
    <n v="4997.28"/>
    <x v="1"/>
    <n v="1821.06"/>
    <s v="Low"/>
    <x v="1"/>
    <n v="32"/>
    <x v="0"/>
    <s v="Male"/>
    <s v="Checking"/>
    <x v="186"/>
    <s v="USD"/>
    <x v="1"/>
    <n v="2.4199999999999999E-2"/>
    <n v="2.42"/>
    <s v="low"/>
    <n v="26681.654999999999"/>
    <n v="645.6960509999999"/>
    <n v="13"/>
    <n v="608"/>
    <x v="2"/>
    <n v="0"/>
    <s v="Good"/>
    <n v="2"/>
    <n v="2451.65"/>
    <s v="Low Income"/>
    <s v="Self-employed"/>
    <s v="Without Loan"/>
    <s v="Low-Risk"/>
  </r>
  <r>
    <s v="T000729"/>
    <s v="C1364"/>
    <s v="AC11805808"/>
    <x v="423"/>
    <x v="12"/>
    <x v="9"/>
    <x v="2"/>
    <n v="5175.93"/>
    <x v="0"/>
    <n v="34280.76"/>
    <s v="Medium"/>
    <x v="1"/>
    <n v="45"/>
    <x v="1"/>
    <s v="Female"/>
    <s v="Savings"/>
    <x v="17"/>
    <s v="EUR"/>
    <x v="2"/>
    <n v="0.02"/>
    <n v="0.02"/>
    <s v="low"/>
    <n v="34991.160000000003"/>
    <n v="699.82320000000004"/>
    <n v="13"/>
    <n v="837"/>
    <x v="1"/>
    <n v="2"/>
    <s v="Good"/>
    <n v="5"/>
    <n v="8093.54"/>
    <s v="High Income"/>
    <s v="Employed"/>
    <s v="With Loan"/>
    <s v="Low-Risk"/>
  </r>
  <r>
    <s v="T000730"/>
    <s v="C7809"/>
    <s v="AC86818039"/>
    <x v="43"/>
    <x v="10"/>
    <x v="3"/>
    <x v="3"/>
    <n v="4867.34"/>
    <x v="1"/>
    <n v="4751.84"/>
    <s v="Low"/>
    <x v="1"/>
    <n v="41"/>
    <x v="1"/>
    <s v="Male"/>
    <s v="Savings"/>
    <x v="363"/>
    <s v="USD"/>
    <x v="0"/>
    <n v="3.4599999999999999E-2"/>
    <n v="3.46"/>
    <s v="low"/>
    <n v="26681.654999999999"/>
    <n v="923.18526299999996"/>
    <n v="13"/>
    <n v="774"/>
    <x v="4"/>
    <n v="1"/>
    <s v="Default"/>
    <n v="4"/>
    <n v="7182.57"/>
    <s v="High Income"/>
    <s v="Unemployed"/>
    <s v="Without Loan"/>
    <s v="Low-Risk"/>
  </r>
  <r>
    <s v="T000731"/>
    <s v="C5621"/>
    <s v="AC48090551"/>
    <x v="376"/>
    <x v="27"/>
    <x v="7"/>
    <x v="2"/>
    <n v="6390.89"/>
    <x v="0"/>
    <n v="21617.3"/>
    <s v="Medium"/>
    <x v="4"/>
    <n v="52"/>
    <x v="2"/>
    <s v="Female"/>
    <s v="Checking"/>
    <x v="500"/>
    <s v="USD"/>
    <x v="1"/>
    <n v="0.03"/>
    <n v="0.03"/>
    <s v="low"/>
    <n v="26681.654999999999"/>
    <n v="800.44964999999991"/>
    <n v="13"/>
    <n v="643"/>
    <x v="2"/>
    <n v="0"/>
    <s v="Good"/>
    <n v="2"/>
    <n v="3779.44"/>
    <s v="Middle Income"/>
    <s v="Self-employed"/>
    <s v="Without Loan"/>
    <s v="Low-Risk"/>
  </r>
  <r>
    <s v="T000732"/>
    <s v="C6126"/>
    <s v="AC97901550"/>
    <x v="210"/>
    <x v="23"/>
    <x v="2"/>
    <x v="3"/>
    <n v="998.14"/>
    <x v="0"/>
    <n v="30482.43"/>
    <s v="Medium"/>
    <x v="1"/>
    <n v="39"/>
    <x v="1"/>
    <s v="Female"/>
    <s v="Savings"/>
    <x v="501"/>
    <s v="EUR"/>
    <x v="1"/>
    <n v="4.9599999999999998E-2"/>
    <n v="4.96"/>
    <s v="high"/>
    <n v="9804.0300000000007"/>
    <n v="486.27988800000003"/>
    <n v="13"/>
    <n v="435"/>
    <x v="0"/>
    <n v="0"/>
    <s v="Good"/>
    <n v="1"/>
    <n v="10938.82"/>
    <s v="High Income"/>
    <s v="Self-employed"/>
    <s v="With Loan"/>
    <s v="Low-Risk"/>
  </r>
  <r>
    <s v="T000733"/>
    <s v="C6122"/>
    <s v="AC88774891"/>
    <x v="424"/>
    <x v="12"/>
    <x v="0"/>
    <x v="2"/>
    <n v="422.92"/>
    <x v="0"/>
    <n v="46918.34"/>
    <s v="Medium"/>
    <x v="2"/>
    <n v="44"/>
    <x v="1"/>
    <s v="Male"/>
    <s v="Checking"/>
    <x v="120"/>
    <s v="EUR"/>
    <x v="2"/>
    <n v="2.8500000000000001E-2"/>
    <n v="2.85"/>
    <s v="low"/>
    <n v="41747.919999999998"/>
    <n v="1189.8157200000001"/>
    <n v="13"/>
    <n v="576"/>
    <x v="0"/>
    <n v="2"/>
    <s v="Good"/>
    <n v="1"/>
    <n v="14907.75"/>
    <s v="High Income"/>
    <s v="Employed"/>
    <s v="With Loan"/>
    <s v="High-Risk"/>
  </r>
  <r>
    <s v="T000734"/>
    <s v="C2646"/>
    <s v="AC47176570"/>
    <x v="425"/>
    <x v="7"/>
    <x v="4"/>
    <x v="1"/>
    <n v="671.26"/>
    <x v="1"/>
    <n v="16278.3"/>
    <s v="Medium"/>
    <x v="2"/>
    <n v="36"/>
    <x v="1"/>
    <s v="Male"/>
    <s v="Credit"/>
    <x v="502"/>
    <s v="USD"/>
    <x v="0"/>
    <n v="1.2999999999999999E-2"/>
    <n v="1.2999999999999999E-2"/>
    <s v="low"/>
    <n v="34482.75"/>
    <n v="448.27574999999996"/>
    <n v="13"/>
    <n v="832"/>
    <x v="1"/>
    <n v="1"/>
    <s v="Default"/>
    <n v="5"/>
    <n v="7143.41"/>
    <s v="High Income"/>
    <s v="Employed"/>
    <s v="With Loan"/>
    <s v="Low-Risk"/>
  </r>
  <r>
    <s v="T000735"/>
    <s v="C1918"/>
    <s v="AC88037948"/>
    <x v="169"/>
    <x v="10"/>
    <x v="6"/>
    <x v="2"/>
    <n v="4499.22"/>
    <x v="1"/>
    <n v="13238.84"/>
    <s v="Medium"/>
    <x v="3"/>
    <n v="62"/>
    <x v="3"/>
    <s v="Male"/>
    <s v="Checking"/>
    <x v="354"/>
    <s v="USD"/>
    <x v="2"/>
    <n v="4.9099999999999998E-2"/>
    <n v="4.91"/>
    <s v="high"/>
    <n v="27824.18"/>
    <n v="1366.167238"/>
    <n v="7"/>
    <n v="330"/>
    <x v="0"/>
    <n v="2"/>
    <s v="Good"/>
    <n v="1"/>
    <n v="10119.26"/>
    <s v="High Income"/>
    <s v="Self-employed"/>
    <s v="With Loan"/>
    <s v="Low-Risk"/>
  </r>
  <r>
    <s v="T000736"/>
    <s v="C3797"/>
    <s v="AC22617619"/>
    <x v="287"/>
    <x v="22"/>
    <x v="0"/>
    <x v="1"/>
    <n v="2827.92"/>
    <x v="0"/>
    <n v="33053.85"/>
    <s v="Medium"/>
    <x v="4"/>
    <n v="29"/>
    <x v="0"/>
    <s v="Male"/>
    <s v="Savings"/>
    <x v="309"/>
    <s v="USD"/>
    <x v="0"/>
    <n v="4.3700000000000003E-2"/>
    <n v="4.37"/>
    <s v="high"/>
    <n v="26681.654999999999"/>
    <n v="1165.9883235"/>
    <n v="3"/>
    <n v="546"/>
    <x v="0"/>
    <n v="1"/>
    <s v="Default"/>
    <n v="1"/>
    <n v="14518.69"/>
    <s v="High Income"/>
    <s v="Self-employed"/>
    <s v="Without Loan"/>
    <s v="Low-Risk"/>
  </r>
  <r>
    <s v="T000737"/>
    <s v="C7506"/>
    <s v="AC94823921"/>
    <x v="405"/>
    <x v="10"/>
    <x v="0"/>
    <x v="1"/>
    <n v="6258.19"/>
    <x v="0"/>
    <n v="31342.71"/>
    <s v="Medium"/>
    <x v="3"/>
    <n v="37"/>
    <x v="1"/>
    <s v="Female"/>
    <s v="Checking"/>
    <x v="503"/>
    <s v="USD"/>
    <x v="1"/>
    <n v="1.7100000000000001E-2"/>
    <n v="1.71"/>
    <s v="low"/>
    <n v="13291.23"/>
    <n v="227.280033"/>
    <n v="5"/>
    <n v="710"/>
    <x v="3"/>
    <n v="0"/>
    <s v="Good"/>
    <n v="3"/>
    <n v="12809.95"/>
    <s v="High Income"/>
    <s v="Employed"/>
    <s v="With Loan"/>
    <s v="Low-Risk"/>
  </r>
  <r>
    <s v="T000738"/>
    <s v="C6870"/>
    <s v="AC87064525"/>
    <x v="426"/>
    <x v="13"/>
    <x v="10"/>
    <x v="2"/>
    <n v="9925.18"/>
    <x v="1"/>
    <n v="17273.38"/>
    <s v="Medium"/>
    <x v="2"/>
    <n v="18"/>
    <x v="4"/>
    <s v="Male"/>
    <s v="Credit"/>
    <x v="73"/>
    <s v="GBP"/>
    <x v="0"/>
    <n v="4.6199999999999998E-2"/>
    <n v="4.62"/>
    <s v="high"/>
    <n v="9790.14"/>
    <n v="452.30446799999993"/>
    <n v="13"/>
    <n v="326"/>
    <x v="0"/>
    <n v="1"/>
    <s v="Default"/>
    <n v="1"/>
    <n v="8026.18"/>
    <s v="High Income"/>
    <s v="Unemployed"/>
    <s v="With Loan"/>
    <s v="Low-Risk"/>
  </r>
  <r>
    <s v="T000739"/>
    <s v="C2531"/>
    <s v="AC63175588"/>
    <x v="399"/>
    <x v="17"/>
    <x v="0"/>
    <x v="3"/>
    <n v="3924.6"/>
    <x v="0"/>
    <n v="46476.99"/>
    <s v="Medium"/>
    <x v="2"/>
    <n v="38"/>
    <x v="1"/>
    <s v="Male"/>
    <s v="Savings"/>
    <x v="138"/>
    <s v="EUR"/>
    <x v="0"/>
    <n v="2.3599999999999999E-2"/>
    <n v="2.36"/>
    <s v="low"/>
    <n v="26681.654999999999"/>
    <n v="629.68705799999998"/>
    <n v="15"/>
    <n v="372"/>
    <x v="0"/>
    <n v="1"/>
    <s v="Default"/>
    <n v="1"/>
    <n v="11587.36"/>
    <s v="High Income"/>
    <s v="Employed"/>
    <s v="Without Loan"/>
    <s v="Low-Risk"/>
  </r>
  <r>
    <s v="T000740"/>
    <s v="C9172"/>
    <s v="AC97818521"/>
    <x v="300"/>
    <x v="15"/>
    <x v="8"/>
    <x v="3"/>
    <n v="5781.03"/>
    <x v="0"/>
    <n v="42398.25"/>
    <s v="Medium"/>
    <x v="0"/>
    <n v="66"/>
    <x v="3"/>
    <s v="Male"/>
    <s v="Credit"/>
    <x v="16"/>
    <s v="USD"/>
    <x v="0"/>
    <n v="2.5100000000000001E-2"/>
    <n v="2.5099999999999998"/>
    <s v="low"/>
    <n v="13984.19"/>
    <n v="351.00316900000001"/>
    <n v="13"/>
    <n v="396"/>
    <x v="0"/>
    <n v="1"/>
    <s v="Default"/>
    <n v="1"/>
    <n v="3665.76"/>
    <s v="Middle Income"/>
    <s v="Self-employed"/>
    <s v="With Loan"/>
    <s v="Low-Risk"/>
  </r>
  <r>
    <s v="T000741"/>
    <s v="C4345"/>
    <s v="AC44761500"/>
    <x v="427"/>
    <x v="13"/>
    <x v="3"/>
    <x v="0"/>
    <n v="4214.4799999999996"/>
    <x v="1"/>
    <n v="11975.14"/>
    <s v="Medium"/>
    <x v="1"/>
    <n v="62"/>
    <x v="3"/>
    <s v="Male"/>
    <s v="Credit"/>
    <x v="42"/>
    <s v="EUR"/>
    <x v="0"/>
    <n v="4.6300000000000001E-2"/>
    <n v="4.63"/>
    <s v="high"/>
    <n v="7694.36"/>
    <n v="356.24886800000002"/>
    <n v="13"/>
    <n v="645"/>
    <x v="2"/>
    <n v="1"/>
    <s v="Default"/>
    <n v="2"/>
    <n v="8657.35"/>
    <s v="High Income"/>
    <s v="Unemployed"/>
    <s v="With Loan"/>
    <s v="Low-Risk"/>
  </r>
  <r>
    <s v="T000742"/>
    <s v="C8673"/>
    <s v="AC74437248"/>
    <x v="420"/>
    <x v="27"/>
    <x v="2"/>
    <x v="3"/>
    <n v="8487.99"/>
    <x v="1"/>
    <n v="12717.98"/>
    <s v="Medium"/>
    <x v="2"/>
    <n v="18"/>
    <x v="4"/>
    <s v="Male"/>
    <s v="Checking"/>
    <x v="504"/>
    <s v="USD"/>
    <x v="0"/>
    <n v="3.1199999999999999E-2"/>
    <n v="3.12"/>
    <s v="low"/>
    <n v="26681.654999999999"/>
    <n v="832.46763599999997"/>
    <n v="8"/>
    <n v="775"/>
    <x v="4"/>
    <n v="1"/>
    <s v="Default"/>
    <n v="4"/>
    <n v="5627.78"/>
    <s v="High Income"/>
    <s v="Unemployed"/>
    <s v="Without Loan"/>
    <s v="Low-Risk"/>
  </r>
  <r>
    <s v="T000743"/>
    <s v="C7949"/>
    <s v="AC35560098"/>
    <x v="65"/>
    <x v="3"/>
    <x v="2"/>
    <x v="0"/>
    <n v="9032.14"/>
    <x v="0"/>
    <n v="26102.720000000001"/>
    <s v="Medium"/>
    <x v="3"/>
    <n v="27"/>
    <x v="0"/>
    <s v="Female"/>
    <s v="Credit"/>
    <x v="358"/>
    <s v="EUR"/>
    <x v="2"/>
    <n v="1.55E-2"/>
    <n v="1.55"/>
    <s v="low"/>
    <n v="26681.654999999999"/>
    <n v="413.5656525"/>
    <n v="13"/>
    <n v="599"/>
    <x v="2"/>
    <n v="2"/>
    <s v="Good"/>
    <n v="2"/>
    <n v="4095.13"/>
    <s v="Middle Income"/>
    <s v="Unemployed"/>
    <s v="Without Loan"/>
    <s v="Low-Risk"/>
  </r>
  <r>
    <s v="T000744"/>
    <s v="C7882"/>
    <s v="AC73131845"/>
    <x v="315"/>
    <x v="3"/>
    <x v="10"/>
    <x v="3"/>
    <n v="8785.82"/>
    <x v="0"/>
    <n v="38905.03"/>
    <s v="Medium"/>
    <x v="3"/>
    <n v="64"/>
    <x v="3"/>
    <s v="Female"/>
    <s v="Savings"/>
    <x v="464"/>
    <s v="EUR"/>
    <x v="0"/>
    <n v="2.4799999999999999E-2"/>
    <n v="2.48"/>
    <s v="low"/>
    <n v="26681.654999999999"/>
    <n v="661.70504399999993"/>
    <n v="9"/>
    <n v="598"/>
    <x v="2"/>
    <n v="1"/>
    <s v="Default"/>
    <n v="2"/>
    <n v="7541.65"/>
    <s v="High Income"/>
    <s v="Unemployed"/>
    <s v="Without Loan"/>
    <s v="Low-Risk"/>
  </r>
  <r>
    <s v="T000745"/>
    <s v="C2906"/>
    <s v="AC25702852"/>
    <x v="428"/>
    <x v="7"/>
    <x v="6"/>
    <x v="3"/>
    <n v="9746.2900000000009"/>
    <x v="1"/>
    <n v="3157.98"/>
    <s v="Low"/>
    <x v="1"/>
    <n v="49"/>
    <x v="2"/>
    <s v="Male"/>
    <s v="Credit"/>
    <x v="505"/>
    <s v="USD"/>
    <x v="0"/>
    <n v="3.8899999999999997E-2"/>
    <n v="3.89"/>
    <s v="low"/>
    <n v="26681.654999999999"/>
    <n v="1037.9163794999999"/>
    <n v="13"/>
    <n v="586"/>
    <x v="2"/>
    <n v="1"/>
    <s v="Default"/>
    <n v="2"/>
    <n v="3703.19"/>
    <s v="Middle Income"/>
    <s v="Self-employed"/>
    <s v="Without Loan"/>
    <s v="Low-Risk"/>
  </r>
  <r>
    <s v="T000746"/>
    <s v="C4086"/>
    <s v="AC51055392"/>
    <x v="257"/>
    <x v="30"/>
    <x v="4"/>
    <x v="1"/>
    <n v="372.44"/>
    <x v="0"/>
    <n v="34973.42"/>
    <s v="Medium"/>
    <x v="1"/>
    <n v="56"/>
    <x v="2"/>
    <s v="Male"/>
    <s v="Credit"/>
    <x v="132"/>
    <s v="USD"/>
    <x v="1"/>
    <n v="1.7000000000000001E-2"/>
    <n v="1.7000000000000001E-2"/>
    <s v="low"/>
    <n v="26681.654999999999"/>
    <n v="453.58813500000002"/>
    <n v="13"/>
    <n v="748"/>
    <x v="4"/>
    <n v="0"/>
    <s v="Good"/>
    <n v="4"/>
    <n v="11086.81"/>
    <s v="High Income"/>
    <s v="Unemployed"/>
    <s v="Without Loan"/>
    <s v="Low-Risk"/>
  </r>
  <r>
    <s v="T000747"/>
    <s v="C9152"/>
    <s v="AC41073264"/>
    <x v="396"/>
    <x v="6"/>
    <x v="10"/>
    <x v="0"/>
    <n v="8414.18"/>
    <x v="0"/>
    <n v="32763.56"/>
    <s v="Medium"/>
    <x v="0"/>
    <n v="39"/>
    <x v="1"/>
    <s v="Female"/>
    <s v="Checking"/>
    <x v="9"/>
    <s v="EUR"/>
    <x v="0"/>
    <n v="3.3599999999999998E-2"/>
    <n v="3.36"/>
    <s v="low"/>
    <n v="26681.654999999999"/>
    <n v="896.50360799999987"/>
    <n v="2"/>
    <n v="511"/>
    <x v="0"/>
    <n v="1"/>
    <s v="Default"/>
    <n v="1"/>
    <n v="7931.12"/>
    <s v="High Income"/>
    <s v="Employed"/>
    <s v="Without Loan"/>
    <s v="Low-Risk"/>
  </r>
  <r>
    <s v="T000748"/>
    <s v="C6750"/>
    <s v="AC54336333"/>
    <x v="78"/>
    <x v="5"/>
    <x v="4"/>
    <x v="3"/>
    <n v="7542.54"/>
    <x v="1"/>
    <n v="12342.52"/>
    <s v="Medium"/>
    <x v="4"/>
    <n v="35"/>
    <x v="0"/>
    <s v="Male"/>
    <s v="Credit"/>
    <x v="506"/>
    <s v="EUR"/>
    <x v="1"/>
    <n v="3.78E-2"/>
    <n v="3.78"/>
    <s v="low"/>
    <n v="26681.654999999999"/>
    <n v="1008.566559"/>
    <n v="20"/>
    <n v="375"/>
    <x v="0"/>
    <n v="0"/>
    <s v="Good"/>
    <n v="1"/>
    <n v="8904.8799999999992"/>
    <s v="High Income"/>
    <s v="Employed"/>
    <s v="Without Loan"/>
    <s v="Low-Risk"/>
  </r>
  <r>
    <s v="T000749"/>
    <s v="C9905"/>
    <s v="AC13040267"/>
    <x v="429"/>
    <x v="8"/>
    <x v="0"/>
    <x v="0"/>
    <n v="2364.0700000000002"/>
    <x v="0"/>
    <n v="34386.300000000003"/>
    <s v="Medium"/>
    <x v="3"/>
    <n v="65"/>
    <x v="3"/>
    <s v="Female"/>
    <s v="Checking"/>
    <x v="507"/>
    <s v="EUR"/>
    <x v="2"/>
    <n v="2.3800000000000002E-2"/>
    <n v="2.38"/>
    <s v="low"/>
    <n v="6729.15"/>
    <n v="160.15377000000001"/>
    <n v="5"/>
    <n v="700"/>
    <x v="3"/>
    <n v="2"/>
    <s v="Good"/>
    <n v="3"/>
    <n v="3902.89"/>
    <s v="Middle Income"/>
    <s v="Employed"/>
    <s v="With Loan"/>
    <s v="Low-Risk"/>
  </r>
  <r>
    <s v="T000750"/>
    <s v="C2062"/>
    <s v="AC86794548"/>
    <x v="211"/>
    <x v="29"/>
    <x v="4"/>
    <x v="1"/>
    <n v="9567.57"/>
    <x v="0"/>
    <n v="47068.98"/>
    <s v="Medium"/>
    <x v="1"/>
    <n v="63"/>
    <x v="3"/>
    <s v="Female"/>
    <s v="Checking"/>
    <x v="102"/>
    <s v="GBP"/>
    <x v="2"/>
    <n v="3.78E-2"/>
    <n v="3.78"/>
    <s v="low"/>
    <n v="23076.080000000002"/>
    <n v="872.27582400000006"/>
    <n v="19"/>
    <n v="333"/>
    <x v="0"/>
    <n v="2"/>
    <s v="Good"/>
    <n v="1"/>
    <n v="3817.03"/>
    <s v="Middle Income"/>
    <s v="Self-employed"/>
    <s v="With Loan"/>
    <s v="Low-Risk"/>
  </r>
  <r>
    <s v="T000751"/>
    <s v="C2976"/>
    <s v="AC57876337"/>
    <x v="189"/>
    <x v="18"/>
    <x v="2"/>
    <x v="1"/>
    <n v="1566.96"/>
    <x v="1"/>
    <n v="3292.51"/>
    <s v="Low"/>
    <x v="3"/>
    <n v="49"/>
    <x v="2"/>
    <s v="Male"/>
    <s v="Savings"/>
    <x v="508"/>
    <s v="USD"/>
    <x v="0"/>
    <n v="4.5400000000000003E-2"/>
    <n v="4.54"/>
    <s v="high"/>
    <n v="26681.654999999999"/>
    <n v="1211.347137"/>
    <n v="13"/>
    <n v="797"/>
    <x v="4"/>
    <n v="1"/>
    <s v="Default"/>
    <n v="4"/>
    <n v="9584.4"/>
    <s v="High Income"/>
    <s v="Unemployed"/>
    <s v="Without Loan"/>
    <s v="Low-Risk"/>
  </r>
  <r>
    <s v="T000752"/>
    <s v="C2296"/>
    <s v="AC31217066"/>
    <x v="276"/>
    <x v="5"/>
    <x v="4"/>
    <x v="0"/>
    <n v="6827.54"/>
    <x v="1"/>
    <n v="16662.95"/>
    <s v="Medium"/>
    <x v="1"/>
    <n v="44"/>
    <x v="1"/>
    <s v="Female"/>
    <s v="Savings"/>
    <x v="509"/>
    <s v="GBP"/>
    <x v="2"/>
    <n v="2.8899999999999999E-2"/>
    <n v="2.89"/>
    <s v="low"/>
    <n v="28521.38"/>
    <n v="824.26788199999999"/>
    <n v="11"/>
    <n v="815"/>
    <x v="1"/>
    <n v="2"/>
    <s v="Good"/>
    <n v="5"/>
    <n v="14805.13"/>
    <s v="High Income"/>
    <s v="Employed"/>
    <s v="With Loan"/>
    <s v="Low-Risk"/>
  </r>
  <r>
    <s v="T000753"/>
    <s v="C7229"/>
    <s v="AC84645629"/>
    <x v="247"/>
    <x v="5"/>
    <x v="11"/>
    <x v="1"/>
    <n v="2326.41"/>
    <x v="0"/>
    <n v="22470.66"/>
    <s v="Medium"/>
    <x v="2"/>
    <n v="45"/>
    <x v="1"/>
    <s v="Male"/>
    <s v="Savings"/>
    <x v="43"/>
    <s v="GBP"/>
    <x v="0"/>
    <n v="2.53E-2"/>
    <n v="2.5299999999999998"/>
    <s v="low"/>
    <n v="26681.654999999999"/>
    <n v="675.04587149999998"/>
    <n v="13"/>
    <n v="627"/>
    <x v="2"/>
    <n v="1"/>
    <s v="Default"/>
    <n v="2"/>
    <n v="3251.26"/>
    <s v="Middle Income"/>
    <s v="Employed"/>
    <s v="Without Loan"/>
    <s v="Low-Risk"/>
  </r>
  <r>
    <s v="T000754"/>
    <s v="C8641"/>
    <s v="AC71468641"/>
    <x v="430"/>
    <x v="22"/>
    <x v="4"/>
    <x v="2"/>
    <n v="4370.67"/>
    <x v="0"/>
    <n v="45063.76"/>
    <s v="Medium"/>
    <x v="3"/>
    <n v="35"/>
    <x v="0"/>
    <s v="Male"/>
    <s v="Savings"/>
    <x v="510"/>
    <s v="USD"/>
    <x v="2"/>
    <n v="0.02"/>
    <n v="0.02"/>
    <s v="low"/>
    <n v="9372.41"/>
    <n v="187.44820000000001"/>
    <n v="13"/>
    <n v="397"/>
    <x v="0"/>
    <n v="2"/>
    <s v="Good"/>
    <n v="1"/>
    <n v="5714.51"/>
    <s v="High Income"/>
    <s v="Employed"/>
    <s v="With Loan"/>
    <s v="Low-Risk"/>
  </r>
  <r>
    <s v="T000755"/>
    <s v="C1125"/>
    <s v="AC55658328"/>
    <x v="431"/>
    <x v="13"/>
    <x v="9"/>
    <x v="2"/>
    <n v="7219.68"/>
    <x v="0"/>
    <n v="48150.81"/>
    <s v="Medium"/>
    <x v="2"/>
    <n v="56"/>
    <x v="2"/>
    <s v="Female"/>
    <s v="Checking"/>
    <x v="184"/>
    <s v="USD"/>
    <x v="0"/>
    <n v="3.4200000000000001E-2"/>
    <n v="3.42"/>
    <s v="low"/>
    <n v="26681.654999999999"/>
    <n v="912.51260100000002"/>
    <n v="13"/>
    <n v="665"/>
    <x v="2"/>
    <n v="1"/>
    <s v="Default"/>
    <n v="2"/>
    <n v="13302.97"/>
    <s v="High Income"/>
    <s v="Unemployed"/>
    <s v="Without Loan"/>
    <s v="Low-Risk"/>
  </r>
  <r>
    <s v="T000756"/>
    <s v="C5632"/>
    <s v="AC70644657"/>
    <x v="185"/>
    <x v="15"/>
    <x v="1"/>
    <x v="1"/>
    <n v="5676.91"/>
    <x v="0"/>
    <n v="22761.65"/>
    <s v="Medium"/>
    <x v="3"/>
    <n v="66"/>
    <x v="3"/>
    <s v="Female"/>
    <s v="Credit"/>
    <x v="395"/>
    <s v="GBP"/>
    <x v="0"/>
    <n v="4.5199999999999997E-2"/>
    <n v="4.5199999999999996"/>
    <s v="high"/>
    <n v="35464.980000000003"/>
    <n v="1603.017096"/>
    <n v="13"/>
    <n v="762"/>
    <x v="4"/>
    <n v="1"/>
    <s v="Default"/>
    <n v="4"/>
    <n v="2939.54"/>
    <s v="Low Income"/>
    <s v="Employed"/>
    <s v="With Loan"/>
    <s v="Low-Risk"/>
  </r>
  <r>
    <s v="T000757"/>
    <s v="C7288"/>
    <s v="AC28673436"/>
    <x v="405"/>
    <x v="10"/>
    <x v="0"/>
    <x v="2"/>
    <n v="4332.2700000000004"/>
    <x v="0"/>
    <n v="37751.39"/>
    <s v="Medium"/>
    <x v="4"/>
    <n v="46"/>
    <x v="2"/>
    <s v="Male"/>
    <s v="Savings"/>
    <x v="40"/>
    <s v="USD"/>
    <x v="1"/>
    <n v="2.3E-2"/>
    <n v="2.3E-2"/>
    <s v="low"/>
    <n v="26681.654999999999"/>
    <n v="613.67806499999995"/>
    <n v="18"/>
    <n v="327"/>
    <x v="0"/>
    <n v="0"/>
    <s v="Good"/>
    <n v="1"/>
    <n v="13386.51"/>
    <s v="High Income"/>
    <s v="Unemployed"/>
    <s v="Without Loan"/>
    <s v="Low-Risk"/>
  </r>
  <r>
    <s v="T000758"/>
    <s v="C4596"/>
    <s v="AC85643942"/>
    <x v="432"/>
    <x v="6"/>
    <x v="1"/>
    <x v="3"/>
    <n v="3330.75"/>
    <x v="0"/>
    <n v="27051.39"/>
    <s v="Medium"/>
    <x v="0"/>
    <n v="35"/>
    <x v="0"/>
    <s v="Female"/>
    <s v="Savings"/>
    <x v="511"/>
    <s v="EUR"/>
    <x v="1"/>
    <n v="2.58E-2"/>
    <n v="2.58"/>
    <s v="low"/>
    <n v="49059.65"/>
    <n v="1265.7389700000001"/>
    <n v="13"/>
    <n v="685"/>
    <x v="3"/>
    <n v="0"/>
    <s v="Good"/>
    <n v="3"/>
    <n v="8815.7199999999993"/>
    <s v="High Income"/>
    <s v="Unemployed"/>
    <s v="With Loan"/>
    <s v="Low-Risk"/>
  </r>
  <r>
    <s v="T000759"/>
    <s v="C7168"/>
    <s v="AC84044638"/>
    <x v="433"/>
    <x v="30"/>
    <x v="6"/>
    <x v="0"/>
    <n v="8412.6299999999992"/>
    <x v="0"/>
    <n v="27351.360000000001"/>
    <s v="Medium"/>
    <x v="2"/>
    <n v="61"/>
    <x v="3"/>
    <s v="Male"/>
    <s v="Savings"/>
    <x v="512"/>
    <s v="EUR"/>
    <x v="1"/>
    <n v="2.63E-2"/>
    <n v="2.63"/>
    <s v="low"/>
    <n v="26681.654999999999"/>
    <n v="701.72752649999995"/>
    <n v="13"/>
    <n v="572"/>
    <x v="0"/>
    <n v="0"/>
    <s v="Good"/>
    <n v="1"/>
    <n v="7307.47"/>
    <s v="High Income"/>
    <s v="Unemployed"/>
    <s v="Without Loan"/>
    <s v="Low-Risk"/>
  </r>
  <r>
    <s v="T000760"/>
    <s v="C8561"/>
    <s v="AC28144439"/>
    <x v="101"/>
    <x v="30"/>
    <x v="7"/>
    <x v="3"/>
    <n v="1523.76"/>
    <x v="1"/>
    <n v="14626.88"/>
    <s v="Medium"/>
    <x v="1"/>
    <n v="25"/>
    <x v="4"/>
    <s v="Female"/>
    <s v="Credit"/>
    <x v="513"/>
    <s v="GBP"/>
    <x v="1"/>
    <n v="3.2399999999999998E-2"/>
    <n v="3.24"/>
    <s v="low"/>
    <n v="27195.96"/>
    <n v="881.14910399999997"/>
    <n v="1"/>
    <n v="426"/>
    <x v="0"/>
    <n v="0"/>
    <s v="Good"/>
    <n v="1"/>
    <n v="6025.85"/>
    <s v="High Income"/>
    <s v="Self-employed"/>
    <s v="With Loan"/>
    <s v="Low-Risk"/>
  </r>
  <r>
    <s v="T000761"/>
    <s v="C9258"/>
    <s v="AC76984430"/>
    <x v="103"/>
    <x v="6"/>
    <x v="2"/>
    <x v="0"/>
    <n v="4358.0200000000004"/>
    <x v="1"/>
    <n v="11630.86"/>
    <s v="Medium"/>
    <x v="4"/>
    <n v="48"/>
    <x v="2"/>
    <s v="Female"/>
    <s v="Savings"/>
    <x v="186"/>
    <s v="GBP"/>
    <x v="0"/>
    <n v="1.9099999999999999E-2"/>
    <n v="1.91"/>
    <s v="low"/>
    <n v="43579.75"/>
    <n v="832.37322499999993"/>
    <n v="13"/>
    <n v="501"/>
    <x v="0"/>
    <n v="1"/>
    <s v="Default"/>
    <n v="1"/>
    <n v="5862.52"/>
    <s v="High Income"/>
    <s v="Self-employed"/>
    <s v="With Loan"/>
    <s v="High-Risk"/>
  </r>
  <r>
    <s v="T000762"/>
    <s v="C1232"/>
    <s v="AC96314161"/>
    <x v="192"/>
    <x v="20"/>
    <x v="5"/>
    <x v="1"/>
    <n v="9047.2000000000007"/>
    <x v="1"/>
    <n v="15112.26"/>
    <s v="Medium"/>
    <x v="3"/>
    <n v="51"/>
    <x v="2"/>
    <s v="Male"/>
    <s v="Credit"/>
    <x v="219"/>
    <s v="USD"/>
    <x v="2"/>
    <n v="4.2900000000000001E-2"/>
    <n v="4.29"/>
    <s v="high"/>
    <n v="26681.654999999999"/>
    <n v="1144.6429994999999"/>
    <n v="9"/>
    <n v="820"/>
    <x v="1"/>
    <n v="2"/>
    <s v="Good"/>
    <n v="5"/>
    <n v="5975.43"/>
    <s v="High Income"/>
    <s v="Unemployed"/>
    <s v="Without Loan"/>
    <s v="Low-Risk"/>
  </r>
  <r>
    <s v="T000763"/>
    <s v="C7371"/>
    <s v="AC55587883"/>
    <x v="132"/>
    <x v="28"/>
    <x v="9"/>
    <x v="3"/>
    <n v="8473.91"/>
    <x v="0"/>
    <n v="28260.07"/>
    <s v="Medium"/>
    <x v="2"/>
    <n v="24"/>
    <x v="4"/>
    <s v="Male"/>
    <s v="Checking"/>
    <x v="190"/>
    <s v="USD"/>
    <x v="0"/>
    <n v="2.18E-2"/>
    <n v="2.1800000000000002"/>
    <s v="low"/>
    <n v="25218.31"/>
    <n v="549.75915800000007"/>
    <n v="23"/>
    <n v="586"/>
    <x v="2"/>
    <n v="1"/>
    <s v="Default"/>
    <n v="2"/>
    <n v="13502.44"/>
    <s v="High Income"/>
    <s v="Unemployed"/>
    <s v="With Loan"/>
    <s v="Low-Risk"/>
  </r>
  <r>
    <s v="T000764"/>
    <s v="C5206"/>
    <s v="AC14273445"/>
    <x v="434"/>
    <x v="2"/>
    <x v="8"/>
    <x v="1"/>
    <n v="4069.32"/>
    <x v="1"/>
    <n v="2428.6"/>
    <s v="Low"/>
    <x v="3"/>
    <n v="53"/>
    <x v="2"/>
    <s v="Male"/>
    <s v="Checking"/>
    <x v="185"/>
    <s v="GBP"/>
    <x v="1"/>
    <n v="3.8199999999999998E-2"/>
    <n v="3.82"/>
    <s v="low"/>
    <n v="17919.91"/>
    <n v="684.54056199999991"/>
    <n v="11"/>
    <n v="749"/>
    <x v="4"/>
    <n v="0"/>
    <s v="Good"/>
    <n v="4"/>
    <n v="11409.34"/>
    <s v="High Income"/>
    <s v="Self-employed"/>
    <s v="With Loan"/>
    <s v="Low-Risk"/>
  </r>
  <r>
    <s v="T000765"/>
    <s v="C8943"/>
    <s v="AC72926675"/>
    <x v="435"/>
    <x v="8"/>
    <x v="8"/>
    <x v="1"/>
    <n v="7654.77"/>
    <x v="0"/>
    <n v="45455.199999999997"/>
    <s v="Medium"/>
    <x v="3"/>
    <n v="35"/>
    <x v="0"/>
    <s v="Female"/>
    <s v="Checking"/>
    <x v="514"/>
    <s v="GBP"/>
    <x v="1"/>
    <n v="3.0499999999999999E-2"/>
    <n v="3.05"/>
    <s v="low"/>
    <n v="9708.7000000000007"/>
    <n v="296.11535000000003"/>
    <n v="13"/>
    <n v="387"/>
    <x v="0"/>
    <n v="0"/>
    <s v="Good"/>
    <n v="1"/>
    <n v="10706.4"/>
    <s v="High Income"/>
    <s v="Self-employed"/>
    <s v="With Loan"/>
    <s v="Low-Risk"/>
  </r>
  <r>
    <s v="T000766"/>
    <s v="C7891"/>
    <s v="AC13184790"/>
    <x v="396"/>
    <x v="6"/>
    <x v="10"/>
    <x v="0"/>
    <n v="8249.2900000000009"/>
    <x v="1"/>
    <n v="8657.9"/>
    <s v="Low"/>
    <x v="3"/>
    <n v="55"/>
    <x v="2"/>
    <s v="Male"/>
    <s v="Credit"/>
    <x v="221"/>
    <s v="EUR"/>
    <x v="2"/>
    <n v="3.3399999999999999E-2"/>
    <n v="3.34"/>
    <s v="low"/>
    <n v="39357.589999999997"/>
    <n v="1314.5435059999998"/>
    <n v="26"/>
    <n v="617"/>
    <x v="2"/>
    <n v="2"/>
    <s v="Good"/>
    <n v="2"/>
    <n v="12383.74"/>
    <s v="High Income"/>
    <s v="Unemployed"/>
    <s v="With Loan"/>
    <s v="Low-Risk"/>
  </r>
  <r>
    <s v="T000767"/>
    <s v="C7738"/>
    <s v="AC43134205"/>
    <x v="436"/>
    <x v="27"/>
    <x v="8"/>
    <x v="0"/>
    <n v="8899.99"/>
    <x v="1"/>
    <n v="11784.35"/>
    <s v="Medium"/>
    <x v="0"/>
    <n v="26"/>
    <x v="0"/>
    <s v="Male"/>
    <s v="Savings"/>
    <x v="515"/>
    <s v="EUR"/>
    <x v="1"/>
    <n v="1.72E-2"/>
    <n v="1.72"/>
    <s v="low"/>
    <n v="27985.64"/>
    <n v="481.35300799999999"/>
    <n v="13"/>
    <n v="318"/>
    <x v="0"/>
    <n v="0"/>
    <s v="Good"/>
    <n v="1"/>
    <n v="5342.49"/>
    <s v="High Income"/>
    <s v="Self-employed"/>
    <s v="With Loan"/>
    <s v="Low-Risk"/>
  </r>
  <r>
    <s v="T000768"/>
    <s v="C3472"/>
    <s v="AC89638835"/>
    <x v="352"/>
    <x v="15"/>
    <x v="0"/>
    <x v="0"/>
    <n v="5490.61"/>
    <x v="0"/>
    <n v="26395.53"/>
    <s v="Medium"/>
    <x v="0"/>
    <n v="26"/>
    <x v="0"/>
    <s v="Female"/>
    <s v="Savings"/>
    <x v="516"/>
    <s v="USD"/>
    <x v="0"/>
    <n v="3.9399999999999998E-2"/>
    <n v="3.94"/>
    <s v="low"/>
    <n v="26681.654999999999"/>
    <n v="1051.2572069999999"/>
    <n v="13"/>
    <n v="406"/>
    <x v="0"/>
    <n v="1"/>
    <s v="Default"/>
    <n v="1"/>
    <n v="10034.56"/>
    <s v="High Income"/>
    <s v="Employed"/>
    <s v="Without Loan"/>
    <s v="Low-Risk"/>
  </r>
  <r>
    <s v="T000769"/>
    <s v="C3739"/>
    <s v="AC83790799"/>
    <x v="178"/>
    <x v="16"/>
    <x v="5"/>
    <x v="3"/>
    <n v="2124.16"/>
    <x v="0"/>
    <n v="35795.620000000003"/>
    <s v="Medium"/>
    <x v="1"/>
    <n v="63"/>
    <x v="3"/>
    <s v="Female"/>
    <s v="Savings"/>
    <x v="517"/>
    <s v="EUR"/>
    <x v="0"/>
    <n v="1.7500000000000002E-2"/>
    <n v="1.75"/>
    <s v="low"/>
    <n v="26681.654999999999"/>
    <n v="466.92896250000001"/>
    <n v="13"/>
    <n v="757"/>
    <x v="4"/>
    <n v="1"/>
    <s v="Default"/>
    <n v="4"/>
    <n v="7980.86"/>
    <s v="High Income"/>
    <s v="Unemployed"/>
    <s v="Without Loan"/>
    <s v="Low-Risk"/>
  </r>
  <r>
    <s v="T000770"/>
    <s v="C6401"/>
    <s v="AC19963441"/>
    <x v="143"/>
    <x v="11"/>
    <x v="0"/>
    <x v="2"/>
    <n v="2627.56"/>
    <x v="1"/>
    <n v="5690.72"/>
    <s v="Low"/>
    <x v="2"/>
    <n v="25"/>
    <x v="4"/>
    <s v="Male"/>
    <s v="Savings"/>
    <x v="518"/>
    <s v="USD"/>
    <x v="0"/>
    <n v="1.4500000000000001E-2"/>
    <n v="1.45"/>
    <s v="low"/>
    <n v="25715.18"/>
    <n v="372.87011000000001"/>
    <n v="8"/>
    <n v="610"/>
    <x v="2"/>
    <n v="1"/>
    <s v="Default"/>
    <n v="2"/>
    <n v="12171.74"/>
    <s v="High Income"/>
    <s v="Unemployed"/>
    <s v="With Loan"/>
    <s v="Low-Risk"/>
  </r>
  <r>
    <s v="T000771"/>
    <s v="C2761"/>
    <s v="AC71647593"/>
    <x v="405"/>
    <x v="10"/>
    <x v="0"/>
    <x v="0"/>
    <n v="3027.38"/>
    <x v="1"/>
    <n v="16567.04"/>
    <s v="Medium"/>
    <x v="4"/>
    <n v="68"/>
    <x v="3"/>
    <s v="Male"/>
    <s v="Savings"/>
    <x v="372"/>
    <s v="USD"/>
    <x v="0"/>
    <n v="3.1899999999999998E-2"/>
    <n v="3.19"/>
    <s v="low"/>
    <n v="26681.654999999999"/>
    <n v="851.14479449999988"/>
    <n v="18"/>
    <n v="711"/>
    <x v="3"/>
    <n v="1"/>
    <s v="Default"/>
    <n v="3"/>
    <n v="6020.33"/>
    <s v="High Income"/>
    <s v="Self-employed"/>
    <s v="Without Loan"/>
    <s v="Low-Risk"/>
  </r>
  <r>
    <s v="T000772"/>
    <s v="C1876"/>
    <s v="AC70769147"/>
    <x v="202"/>
    <x v="4"/>
    <x v="6"/>
    <x v="0"/>
    <n v="5978.64"/>
    <x v="0"/>
    <n v="48465.06"/>
    <s v="Medium"/>
    <x v="4"/>
    <n v="52"/>
    <x v="2"/>
    <s v="Male"/>
    <s v="Credit"/>
    <x v="429"/>
    <s v="USD"/>
    <x v="0"/>
    <n v="3.8399999999999997E-2"/>
    <n v="3.84"/>
    <s v="low"/>
    <n v="35281.300000000003"/>
    <n v="1354.8019199999999"/>
    <n v="16"/>
    <n v="797"/>
    <x v="4"/>
    <n v="1"/>
    <s v="Default"/>
    <n v="4"/>
    <n v="10361.32"/>
    <s v="High Income"/>
    <s v="Employed"/>
    <s v="With Loan"/>
    <s v="Low-Risk"/>
  </r>
  <r>
    <s v="T000773"/>
    <s v="C4812"/>
    <s v="AC83798006"/>
    <x v="110"/>
    <x v="20"/>
    <x v="4"/>
    <x v="3"/>
    <n v="424.82"/>
    <x v="1"/>
    <n v="13854.81"/>
    <s v="Medium"/>
    <x v="4"/>
    <n v="35"/>
    <x v="0"/>
    <s v="Male"/>
    <s v="Checking"/>
    <x v="519"/>
    <s v="EUR"/>
    <x v="2"/>
    <n v="1.2E-2"/>
    <n v="1.2E-2"/>
    <s v="low"/>
    <n v="26681.654999999999"/>
    <n v="320.17986000000002"/>
    <n v="13"/>
    <n v="543"/>
    <x v="0"/>
    <n v="2"/>
    <s v="Good"/>
    <n v="1"/>
    <n v="13468.76"/>
    <s v="High Income"/>
    <s v="Self-employed"/>
    <s v="Without Loan"/>
    <s v="Low-Risk"/>
  </r>
  <r>
    <s v="T000774"/>
    <s v="C2460"/>
    <s v="AC36336263"/>
    <x v="159"/>
    <x v="13"/>
    <x v="1"/>
    <x v="0"/>
    <n v="6396.82"/>
    <x v="1"/>
    <n v="16339.46"/>
    <s v="Medium"/>
    <x v="3"/>
    <n v="22"/>
    <x v="4"/>
    <s v="Female"/>
    <s v="Savings"/>
    <x v="160"/>
    <s v="GBP"/>
    <x v="0"/>
    <n v="1.2800000000000001E-2"/>
    <n v="1.28"/>
    <s v="low"/>
    <n v="41754.54"/>
    <n v="534.45811200000003"/>
    <n v="13"/>
    <n v="679"/>
    <x v="3"/>
    <n v="1"/>
    <s v="Default"/>
    <n v="3"/>
    <n v="7227.96"/>
    <s v="High Income"/>
    <s v="Employed"/>
    <s v="With Loan"/>
    <s v="Low-Risk"/>
  </r>
  <r>
    <s v="T000775"/>
    <s v="C2733"/>
    <s v="AC14990961"/>
    <x v="437"/>
    <x v="6"/>
    <x v="8"/>
    <x v="3"/>
    <n v="3707.11"/>
    <x v="0"/>
    <n v="41988.43"/>
    <s v="Medium"/>
    <x v="0"/>
    <n v="31"/>
    <x v="0"/>
    <s v="Female"/>
    <s v="Checking"/>
    <x v="513"/>
    <s v="GBP"/>
    <x v="1"/>
    <n v="4.2099999999999999E-2"/>
    <n v="4.21"/>
    <s v="high"/>
    <n v="13832.92"/>
    <n v="582.36593199999993"/>
    <n v="12"/>
    <n v="814"/>
    <x v="1"/>
    <n v="0"/>
    <s v="Good"/>
    <n v="5"/>
    <n v="2866.09"/>
    <s v="Low Income"/>
    <s v="Employed"/>
    <s v="With Loan"/>
    <s v="Low-Risk"/>
  </r>
  <r>
    <s v="T000776"/>
    <s v="C2605"/>
    <s v="AC13646804"/>
    <x v="431"/>
    <x v="13"/>
    <x v="9"/>
    <x v="1"/>
    <n v="3022.89"/>
    <x v="1"/>
    <n v="3460.51"/>
    <s v="Low"/>
    <x v="2"/>
    <n v="45"/>
    <x v="1"/>
    <s v="Male"/>
    <s v="Credit"/>
    <x v="520"/>
    <s v="EUR"/>
    <x v="1"/>
    <n v="4.24E-2"/>
    <n v="4.24"/>
    <s v="high"/>
    <n v="14227.48"/>
    <n v="603.24515199999996"/>
    <n v="13"/>
    <n v="506"/>
    <x v="0"/>
    <n v="0"/>
    <s v="Good"/>
    <n v="1"/>
    <n v="8708.66"/>
    <s v="High Income"/>
    <s v="Unemployed"/>
    <s v="With Loan"/>
    <s v="Low-Risk"/>
  </r>
  <r>
    <s v="T000777"/>
    <s v="C6622"/>
    <s v="AC10647296"/>
    <x v="294"/>
    <x v="4"/>
    <x v="8"/>
    <x v="0"/>
    <n v="8807.02"/>
    <x v="0"/>
    <n v="23766.05"/>
    <s v="Medium"/>
    <x v="3"/>
    <n v="47"/>
    <x v="2"/>
    <s v="Male"/>
    <s v="Credit"/>
    <x v="450"/>
    <s v="GBP"/>
    <x v="1"/>
    <n v="1.9800000000000002E-2"/>
    <n v="1.98"/>
    <s v="low"/>
    <n v="34059.18"/>
    <n v="674.3717640000001"/>
    <n v="6"/>
    <n v="693"/>
    <x v="3"/>
    <n v="0"/>
    <s v="Good"/>
    <n v="3"/>
    <n v="6497.64"/>
    <s v="High Income"/>
    <s v="Employed"/>
    <s v="With Loan"/>
    <s v="Low-Risk"/>
  </r>
  <r>
    <s v="T000778"/>
    <s v="C7767"/>
    <s v="AC61880950"/>
    <x v="311"/>
    <x v="10"/>
    <x v="7"/>
    <x v="0"/>
    <n v="4654.0200000000004"/>
    <x v="1"/>
    <n v="19601.22"/>
    <s v="Medium"/>
    <x v="0"/>
    <n v="21"/>
    <x v="4"/>
    <s v="Male"/>
    <s v="Savings"/>
    <x v="383"/>
    <s v="USD"/>
    <x v="1"/>
    <n v="3.4599999999999999E-2"/>
    <n v="3.46"/>
    <s v="low"/>
    <n v="26681.654999999999"/>
    <n v="923.18526299999996"/>
    <n v="3"/>
    <n v="320"/>
    <x v="0"/>
    <n v="0"/>
    <s v="Good"/>
    <n v="1"/>
    <n v="10738.93"/>
    <s v="High Income"/>
    <s v="Unemployed"/>
    <s v="Without Loan"/>
    <s v="Low-Risk"/>
  </r>
  <r>
    <s v="T000779"/>
    <s v="C7986"/>
    <s v="AC80231815"/>
    <x v="388"/>
    <x v="20"/>
    <x v="11"/>
    <x v="1"/>
    <n v="1041.03"/>
    <x v="1"/>
    <n v="16512.75"/>
    <s v="Medium"/>
    <x v="0"/>
    <n v="56"/>
    <x v="2"/>
    <s v="Female"/>
    <s v="Credit"/>
    <x v="521"/>
    <s v="GBP"/>
    <x v="2"/>
    <n v="2.7699999999999999E-2"/>
    <n v="2.77"/>
    <s v="low"/>
    <n v="26681.654999999999"/>
    <n v="739.08184349999999"/>
    <n v="13"/>
    <n v="826"/>
    <x v="1"/>
    <n v="2"/>
    <s v="Good"/>
    <n v="5"/>
    <n v="14363.43"/>
    <s v="High Income"/>
    <s v="Employed"/>
    <s v="Without Loan"/>
    <s v="Low-Risk"/>
  </r>
  <r>
    <s v="T000780"/>
    <s v="C4517"/>
    <s v="AC36844511"/>
    <x v="34"/>
    <x v="19"/>
    <x v="5"/>
    <x v="1"/>
    <n v="8284.7900000000009"/>
    <x v="1"/>
    <n v="14999.28"/>
    <s v="Medium"/>
    <x v="2"/>
    <n v="37"/>
    <x v="1"/>
    <s v="Male"/>
    <s v="Checking"/>
    <x v="205"/>
    <s v="EUR"/>
    <x v="1"/>
    <n v="3.5299999999999998E-2"/>
    <n v="3.53"/>
    <s v="low"/>
    <n v="26681.654999999999"/>
    <n v="941.86242149999987"/>
    <n v="13"/>
    <n v="642"/>
    <x v="2"/>
    <n v="0"/>
    <s v="Good"/>
    <n v="2"/>
    <n v="8312.91"/>
    <s v="High Income"/>
    <s v="Unemployed"/>
    <s v="Without Loan"/>
    <s v="Low-Risk"/>
  </r>
  <r>
    <s v="T000781"/>
    <s v="C4735"/>
    <s v="AC77908965"/>
    <x v="438"/>
    <x v="21"/>
    <x v="8"/>
    <x v="1"/>
    <n v="571.65"/>
    <x v="1"/>
    <n v="5477.33"/>
    <s v="Low"/>
    <x v="2"/>
    <n v="42"/>
    <x v="1"/>
    <s v="Male"/>
    <s v="Savings"/>
    <x v="414"/>
    <s v="GBP"/>
    <x v="2"/>
    <n v="4.4499999999999998E-2"/>
    <n v="4.45"/>
    <s v="high"/>
    <n v="49969.85"/>
    <n v="2223.6583249999999"/>
    <n v="2"/>
    <n v="501"/>
    <x v="0"/>
    <n v="2"/>
    <s v="Good"/>
    <n v="1"/>
    <n v="8060.47"/>
    <s v="High Income"/>
    <s v="Employed"/>
    <s v="With Loan"/>
    <s v="High-Risk"/>
  </r>
  <r>
    <s v="T000782"/>
    <s v="C9434"/>
    <s v="AC99763925"/>
    <x v="79"/>
    <x v="28"/>
    <x v="5"/>
    <x v="0"/>
    <n v="7294.82"/>
    <x v="1"/>
    <n v="16426.47"/>
    <s v="Medium"/>
    <x v="2"/>
    <n v="45"/>
    <x v="1"/>
    <s v="Female"/>
    <s v="Savings"/>
    <x v="486"/>
    <s v="USD"/>
    <x v="1"/>
    <n v="1.32E-2"/>
    <n v="1.32"/>
    <s v="low"/>
    <n v="26681.654999999999"/>
    <n v="352.19784599999997"/>
    <n v="13"/>
    <n v="419"/>
    <x v="0"/>
    <n v="0"/>
    <s v="Good"/>
    <n v="1"/>
    <n v="10509.6"/>
    <s v="High Income"/>
    <s v="Self-employed"/>
    <s v="Without Loan"/>
    <s v="Low-Risk"/>
  </r>
  <r>
    <s v="T000783"/>
    <s v="C3590"/>
    <s v="AC32791342"/>
    <x v="141"/>
    <x v="17"/>
    <x v="3"/>
    <x v="2"/>
    <n v="7761.67"/>
    <x v="1"/>
    <n v="3109.57"/>
    <s v="Low"/>
    <x v="3"/>
    <n v="29"/>
    <x v="0"/>
    <s v="Female"/>
    <s v="Checking"/>
    <x v="522"/>
    <s v="USD"/>
    <x v="2"/>
    <n v="4.1099999999999998E-2"/>
    <n v="4.1100000000000003"/>
    <s v="high"/>
    <n v="26681.654999999999"/>
    <n v="1096.6160204999999"/>
    <n v="22"/>
    <n v="688"/>
    <x v="3"/>
    <n v="2"/>
    <s v="Good"/>
    <n v="3"/>
    <n v="3345.47"/>
    <s v="Middle Income"/>
    <s v="Employed"/>
    <s v="Without Loan"/>
    <s v="Low-Risk"/>
  </r>
  <r>
    <s v="T000784"/>
    <s v="C2063"/>
    <s v="AC32015777"/>
    <x v="327"/>
    <x v="16"/>
    <x v="2"/>
    <x v="2"/>
    <n v="3590.77"/>
    <x v="0"/>
    <n v="39267.230000000003"/>
    <s v="Medium"/>
    <x v="1"/>
    <n v="19"/>
    <x v="4"/>
    <s v="Male"/>
    <s v="Savings"/>
    <x v="0"/>
    <s v="EUR"/>
    <x v="2"/>
    <n v="2.9700000000000001E-2"/>
    <n v="2.97"/>
    <s v="low"/>
    <n v="38281.39"/>
    <n v="1136.957283"/>
    <n v="3"/>
    <n v="836"/>
    <x v="1"/>
    <n v="2"/>
    <s v="Good"/>
    <n v="5"/>
    <n v="5295.58"/>
    <s v="High Income"/>
    <s v="Self-employed"/>
    <s v="With Loan"/>
    <s v="Low-Risk"/>
  </r>
  <r>
    <s v="T000785"/>
    <s v="C5324"/>
    <s v="AC33116992"/>
    <x v="59"/>
    <x v="14"/>
    <x v="8"/>
    <x v="2"/>
    <n v="8265.4"/>
    <x v="0"/>
    <n v="20513.16"/>
    <s v="Medium"/>
    <x v="2"/>
    <n v="60"/>
    <x v="2"/>
    <s v="Male"/>
    <s v="Savings"/>
    <x v="523"/>
    <s v="EUR"/>
    <x v="2"/>
    <n v="3.2599999999999997E-2"/>
    <n v="3.26"/>
    <s v="low"/>
    <n v="16142.85"/>
    <n v="526.25690999999995"/>
    <n v="13"/>
    <n v="533"/>
    <x v="0"/>
    <n v="2"/>
    <s v="Good"/>
    <n v="1"/>
    <n v="13946.73"/>
    <s v="High Income"/>
    <s v="Employed"/>
    <s v="With Loan"/>
    <s v="Low-Risk"/>
  </r>
  <r>
    <s v="T000786"/>
    <s v="C6342"/>
    <s v="AC52439798"/>
    <x v="286"/>
    <x v="17"/>
    <x v="7"/>
    <x v="0"/>
    <n v="5205.03"/>
    <x v="0"/>
    <n v="22751.29"/>
    <s v="Medium"/>
    <x v="1"/>
    <n v="31"/>
    <x v="0"/>
    <s v="Female"/>
    <s v="Checking"/>
    <x v="524"/>
    <s v="EUR"/>
    <x v="1"/>
    <n v="3.6200000000000003E-2"/>
    <n v="3.62"/>
    <s v="low"/>
    <n v="42509.279999999999"/>
    <n v="1538.8359360000002"/>
    <n v="1"/>
    <n v="619"/>
    <x v="2"/>
    <n v="0"/>
    <s v="Good"/>
    <n v="2"/>
    <n v="10709.25"/>
    <s v="High Income"/>
    <s v="Employed"/>
    <s v="With Loan"/>
    <s v="Low-Risk"/>
  </r>
  <r>
    <s v="T000787"/>
    <s v="C1005"/>
    <s v="AC40555353"/>
    <x v="439"/>
    <x v="27"/>
    <x v="4"/>
    <x v="1"/>
    <n v="4686.6099999999997"/>
    <x v="0"/>
    <n v="44786.13"/>
    <s v="Medium"/>
    <x v="3"/>
    <n v="39"/>
    <x v="1"/>
    <s v="Male"/>
    <s v="Savings"/>
    <x v="525"/>
    <s v="USD"/>
    <x v="2"/>
    <n v="4.6899999999999997E-2"/>
    <n v="4.6900000000000004"/>
    <s v="high"/>
    <n v="26681.654999999999"/>
    <n v="1251.3696194999998"/>
    <n v="13"/>
    <n v="479"/>
    <x v="0"/>
    <n v="2"/>
    <s v="Good"/>
    <n v="1"/>
    <n v="2174.77"/>
    <s v="Low Income"/>
    <s v="Unemployed"/>
    <s v="Without Loan"/>
    <s v="Low-Risk"/>
  </r>
  <r>
    <s v="T000788"/>
    <s v="C8489"/>
    <s v="AC85230621"/>
    <x v="440"/>
    <x v="4"/>
    <x v="4"/>
    <x v="0"/>
    <n v="549.49"/>
    <x v="0"/>
    <n v="33244.69"/>
    <s v="Medium"/>
    <x v="1"/>
    <n v="48"/>
    <x v="2"/>
    <s v="Male"/>
    <s v="Savings"/>
    <x v="75"/>
    <s v="GBP"/>
    <x v="0"/>
    <n v="1.23E-2"/>
    <n v="1.23"/>
    <s v="low"/>
    <n v="26681.654999999999"/>
    <n v="328.18435649999998"/>
    <n v="1"/>
    <n v="667"/>
    <x v="2"/>
    <n v="1"/>
    <s v="Default"/>
    <n v="2"/>
    <n v="4660.13"/>
    <s v="Middle Income"/>
    <s v="Employed"/>
    <s v="Without Loan"/>
    <s v="Low-Risk"/>
  </r>
  <r>
    <s v="T000789"/>
    <s v="C9659"/>
    <s v="AC88929433"/>
    <x v="204"/>
    <x v="16"/>
    <x v="1"/>
    <x v="1"/>
    <n v="2971.29"/>
    <x v="1"/>
    <n v="1394.9"/>
    <s v="Low"/>
    <x v="4"/>
    <n v="40"/>
    <x v="1"/>
    <s v="Female"/>
    <s v="Checking"/>
    <x v="526"/>
    <s v="GBP"/>
    <x v="0"/>
    <n v="1.12E-2"/>
    <n v="1.1200000000000001"/>
    <s v="low"/>
    <n v="8664.25"/>
    <n v="97.039599999999993"/>
    <n v="13"/>
    <n v="375"/>
    <x v="0"/>
    <n v="1"/>
    <s v="Default"/>
    <n v="1"/>
    <n v="10876.88"/>
    <s v="High Income"/>
    <s v="Employed"/>
    <s v="With Loan"/>
    <s v="Low-Risk"/>
  </r>
  <r>
    <s v="T000790"/>
    <s v="C9195"/>
    <s v="AC99588014"/>
    <x v="28"/>
    <x v="16"/>
    <x v="8"/>
    <x v="0"/>
    <n v="9317"/>
    <x v="0"/>
    <n v="47215.57"/>
    <s v="Medium"/>
    <x v="1"/>
    <n v="65"/>
    <x v="3"/>
    <s v="Female"/>
    <s v="Credit"/>
    <x v="256"/>
    <s v="EUR"/>
    <x v="1"/>
    <n v="1.7100000000000001E-2"/>
    <n v="1.71"/>
    <s v="low"/>
    <n v="26681.654999999999"/>
    <n v="456.25630050000001"/>
    <n v="13"/>
    <n v="795"/>
    <x v="4"/>
    <n v="0"/>
    <s v="Good"/>
    <n v="4"/>
    <n v="11937.19"/>
    <s v="High Income"/>
    <s v="Employed"/>
    <s v="Without Loan"/>
    <s v="Low-Risk"/>
  </r>
  <r>
    <s v="T000791"/>
    <s v="C6966"/>
    <s v="AC44831079"/>
    <x v="441"/>
    <x v="0"/>
    <x v="10"/>
    <x v="0"/>
    <n v="3979.06"/>
    <x v="1"/>
    <n v="12620.08"/>
    <s v="Medium"/>
    <x v="2"/>
    <n v="37"/>
    <x v="1"/>
    <s v="Female"/>
    <s v="Checking"/>
    <x v="527"/>
    <s v="GBP"/>
    <x v="0"/>
    <n v="4.9500000000000002E-2"/>
    <n v="4.95"/>
    <s v="high"/>
    <n v="30012.82"/>
    <n v="1485.6345900000001"/>
    <n v="5"/>
    <n v="821"/>
    <x v="1"/>
    <n v="1"/>
    <s v="Default"/>
    <n v="5"/>
    <n v="12918.17"/>
    <s v="High Income"/>
    <s v="Self-employed"/>
    <s v="With Loan"/>
    <s v="Low-Risk"/>
  </r>
  <r>
    <s v="T000792"/>
    <s v="C9837"/>
    <s v="AC89540080"/>
    <x v="116"/>
    <x v="11"/>
    <x v="6"/>
    <x v="1"/>
    <n v="5512.34"/>
    <x v="1"/>
    <n v="6273.1"/>
    <s v="Low"/>
    <x v="3"/>
    <n v="55"/>
    <x v="2"/>
    <s v="Male"/>
    <s v="Savings"/>
    <x v="357"/>
    <s v="GBP"/>
    <x v="0"/>
    <n v="3.8600000000000002E-2"/>
    <n v="3.86"/>
    <s v="low"/>
    <n v="26681.654999999999"/>
    <n v="1029.911883"/>
    <n v="13"/>
    <n v="500"/>
    <x v="0"/>
    <n v="1"/>
    <s v="Default"/>
    <n v="1"/>
    <n v="5798.3"/>
    <s v="High Income"/>
    <s v="Unemployed"/>
    <s v="Without Loan"/>
    <s v="Low-Risk"/>
  </r>
  <r>
    <s v="T000793"/>
    <s v="C1117"/>
    <s v="AC93149786"/>
    <x v="442"/>
    <x v="12"/>
    <x v="5"/>
    <x v="2"/>
    <n v="5367.01"/>
    <x v="0"/>
    <n v="38638.28"/>
    <s v="Medium"/>
    <x v="2"/>
    <n v="21"/>
    <x v="4"/>
    <s v="Female"/>
    <s v="Checking"/>
    <x v="429"/>
    <s v="EUR"/>
    <x v="0"/>
    <n v="3.4599999999999999E-2"/>
    <n v="3.46"/>
    <s v="low"/>
    <n v="14476.06"/>
    <n v="500.87167599999998"/>
    <n v="13"/>
    <n v="645"/>
    <x v="2"/>
    <n v="1"/>
    <s v="Default"/>
    <n v="2"/>
    <n v="14103.37"/>
    <s v="High Income"/>
    <s v="Unemployed"/>
    <s v="With Loan"/>
    <s v="Low-Risk"/>
  </r>
  <r>
    <s v="T000794"/>
    <s v="C3551"/>
    <s v="AC71247832"/>
    <x v="305"/>
    <x v="26"/>
    <x v="8"/>
    <x v="1"/>
    <n v="5945.27"/>
    <x v="0"/>
    <n v="25523.39"/>
    <s v="Medium"/>
    <x v="4"/>
    <n v="32"/>
    <x v="0"/>
    <s v="Female"/>
    <s v="Savings"/>
    <x v="528"/>
    <s v="EUR"/>
    <x v="1"/>
    <n v="1.1900000000000001E-2"/>
    <n v="1.19"/>
    <s v="low"/>
    <n v="26681.654999999999"/>
    <n v="317.51169450000003"/>
    <n v="16"/>
    <n v="782"/>
    <x v="4"/>
    <n v="0"/>
    <s v="Good"/>
    <n v="4"/>
    <n v="9188.31"/>
    <s v="High Income"/>
    <s v="Employed"/>
    <s v="Without Loan"/>
    <s v="Low-Risk"/>
  </r>
  <r>
    <s v="T000795"/>
    <s v="C6560"/>
    <s v="AC18704813"/>
    <x v="112"/>
    <x v="25"/>
    <x v="10"/>
    <x v="3"/>
    <n v="707.18"/>
    <x v="0"/>
    <n v="22254.76"/>
    <s v="Medium"/>
    <x v="2"/>
    <n v="41"/>
    <x v="1"/>
    <s v="Male"/>
    <s v="Savings"/>
    <x v="529"/>
    <s v="USD"/>
    <x v="1"/>
    <n v="4.5199999999999997E-2"/>
    <n v="4.5199999999999996"/>
    <s v="high"/>
    <n v="26681.654999999999"/>
    <n v="1206.0108059999998"/>
    <n v="13"/>
    <n v="518"/>
    <x v="0"/>
    <n v="0"/>
    <s v="Good"/>
    <n v="1"/>
    <n v="11055.01"/>
    <s v="High Income"/>
    <s v="Employed"/>
    <s v="Without Loan"/>
    <s v="Low-Risk"/>
  </r>
  <r>
    <s v="T000796"/>
    <s v="C5289"/>
    <s v="AC63376963"/>
    <x v="270"/>
    <x v="7"/>
    <x v="7"/>
    <x v="3"/>
    <n v="3685.54"/>
    <x v="1"/>
    <n v="13225.65"/>
    <s v="Medium"/>
    <x v="2"/>
    <n v="42"/>
    <x v="1"/>
    <s v="Male"/>
    <s v="Checking"/>
    <x v="307"/>
    <s v="USD"/>
    <x v="0"/>
    <n v="4.2500000000000003E-2"/>
    <n v="4.25"/>
    <s v="high"/>
    <n v="26681.654999999999"/>
    <n v="1133.9703375000001"/>
    <n v="12"/>
    <n v="359"/>
    <x v="0"/>
    <n v="1"/>
    <s v="Default"/>
    <n v="1"/>
    <n v="9757.61"/>
    <s v="High Income"/>
    <s v="Self-employed"/>
    <s v="Without Loan"/>
    <s v="Low-Risk"/>
  </r>
  <r>
    <s v="T000797"/>
    <s v="C1846"/>
    <s v="AC97030560"/>
    <x v="332"/>
    <x v="3"/>
    <x v="8"/>
    <x v="1"/>
    <n v="7258.97"/>
    <x v="0"/>
    <n v="27826.1"/>
    <s v="Medium"/>
    <x v="2"/>
    <n v="18"/>
    <x v="4"/>
    <s v="Female"/>
    <s v="Savings"/>
    <x v="399"/>
    <s v="USD"/>
    <x v="1"/>
    <n v="3.6600000000000001E-2"/>
    <n v="3.66"/>
    <s v="low"/>
    <n v="15550.2"/>
    <n v="569.13732000000005"/>
    <n v="13"/>
    <n v="849"/>
    <x v="1"/>
    <n v="0"/>
    <s v="Good"/>
    <n v="5"/>
    <n v="3595.62"/>
    <s v="Middle Income"/>
    <s v="Employed"/>
    <s v="With Loan"/>
    <s v="Low-Risk"/>
  </r>
  <r>
    <s v="T000798"/>
    <s v="C7316"/>
    <s v="AC39461504"/>
    <x v="19"/>
    <x v="0"/>
    <x v="4"/>
    <x v="0"/>
    <n v="2085.5500000000002"/>
    <x v="1"/>
    <n v="14444.85"/>
    <s v="Medium"/>
    <x v="0"/>
    <n v="24"/>
    <x v="4"/>
    <s v="Female"/>
    <s v="Credit"/>
    <x v="94"/>
    <s v="USD"/>
    <x v="2"/>
    <n v="2.3599999999999999E-2"/>
    <n v="2.36"/>
    <s v="low"/>
    <n v="37922.36"/>
    <n v="894.96769600000005"/>
    <n v="3"/>
    <n v="520"/>
    <x v="0"/>
    <n v="2"/>
    <s v="Good"/>
    <n v="1"/>
    <n v="14520.49"/>
    <s v="High Income"/>
    <s v="Unemployed"/>
    <s v="With Loan"/>
    <s v="High-Risk"/>
  </r>
  <r>
    <s v="T000799"/>
    <s v="C7469"/>
    <s v="AC24497054"/>
    <x v="319"/>
    <x v="25"/>
    <x v="0"/>
    <x v="3"/>
    <n v="2115.4299999999998"/>
    <x v="0"/>
    <n v="45177.57"/>
    <s v="Medium"/>
    <x v="4"/>
    <n v="48"/>
    <x v="2"/>
    <s v="Male"/>
    <s v="Savings"/>
    <x v="530"/>
    <s v="GBP"/>
    <x v="0"/>
    <n v="1.2800000000000001E-2"/>
    <n v="1.28"/>
    <s v="low"/>
    <n v="16560.400000000001"/>
    <n v="211.97312000000002"/>
    <n v="23"/>
    <n v="801"/>
    <x v="1"/>
    <n v="1"/>
    <s v="Default"/>
    <n v="5"/>
    <n v="3597.38"/>
    <s v="Middle Income"/>
    <s v="Unemployed"/>
    <s v="With Loan"/>
    <s v="Low-Risk"/>
  </r>
  <r>
    <s v="T000800"/>
    <s v="C9915"/>
    <s v="AC21319247"/>
    <x v="184"/>
    <x v="19"/>
    <x v="1"/>
    <x v="3"/>
    <n v="199.9"/>
    <x v="1"/>
    <n v="11545.02"/>
    <s v="Medium"/>
    <x v="2"/>
    <n v="29"/>
    <x v="0"/>
    <s v="Male"/>
    <s v="Checking"/>
    <x v="147"/>
    <s v="GBP"/>
    <x v="1"/>
    <n v="3.32E-2"/>
    <n v="3.32"/>
    <s v="low"/>
    <n v="26681.654999999999"/>
    <n v="885.83094599999993"/>
    <n v="2"/>
    <n v="432"/>
    <x v="0"/>
    <n v="0"/>
    <s v="Good"/>
    <n v="1"/>
    <n v="5313.47"/>
    <s v="High Income"/>
    <s v="Self-employed"/>
    <s v="Without Loan"/>
    <s v="Low-Risk"/>
  </r>
  <r>
    <s v="T000801"/>
    <s v="C1224"/>
    <s v="AC71585037"/>
    <x v="152"/>
    <x v="17"/>
    <x v="2"/>
    <x v="0"/>
    <n v="4431.07"/>
    <x v="0"/>
    <n v="44333.4"/>
    <s v="Medium"/>
    <x v="2"/>
    <n v="59"/>
    <x v="2"/>
    <s v="Female"/>
    <s v="Credit"/>
    <x v="531"/>
    <s v="USD"/>
    <x v="1"/>
    <n v="3.8800000000000001E-2"/>
    <n v="3.88"/>
    <s v="low"/>
    <n v="36080.06"/>
    <n v="1399.906328"/>
    <n v="7"/>
    <n v="352"/>
    <x v="0"/>
    <n v="0"/>
    <s v="Good"/>
    <n v="1"/>
    <n v="12577.16"/>
    <s v="High Income"/>
    <s v="Self-employed"/>
    <s v="With Loan"/>
    <s v="High-Risk"/>
  </r>
  <r>
    <s v="T000802"/>
    <s v="C5208"/>
    <s v="AC91022004"/>
    <x v="358"/>
    <x v="24"/>
    <x v="7"/>
    <x v="0"/>
    <n v="8839.07"/>
    <x v="0"/>
    <n v="28410.87"/>
    <s v="Medium"/>
    <x v="2"/>
    <n v="22"/>
    <x v="4"/>
    <s v="Female"/>
    <s v="Credit"/>
    <x v="250"/>
    <s v="USD"/>
    <x v="0"/>
    <n v="1.38E-2"/>
    <n v="1.38"/>
    <s v="low"/>
    <n v="26681.654999999999"/>
    <n v="368.206839"/>
    <n v="13"/>
    <n v="749"/>
    <x v="4"/>
    <n v="1"/>
    <s v="Default"/>
    <n v="4"/>
    <n v="10041.76"/>
    <s v="High Income"/>
    <s v="Unemployed"/>
    <s v="Without Loan"/>
    <s v="Low-Risk"/>
  </r>
  <r>
    <s v="T000803"/>
    <s v="C7283"/>
    <s v="AC56048559"/>
    <x v="372"/>
    <x v="24"/>
    <x v="6"/>
    <x v="2"/>
    <n v="613.82000000000005"/>
    <x v="0"/>
    <n v="41595.919999999998"/>
    <s v="Medium"/>
    <x v="3"/>
    <n v="61"/>
    <x v="3"/>
    <s v="Male"/>
    <s v="Savings"/>
    <x v="37"/>
    <s v="EUR"/>
    <x v="1"/>
    <n v="3.5400000000000001E-2"/>
    <n v="3.54"/>
    <s v="low"/>
    <n v="26669.279999999999"/>
    <n v="944.09251199999994"/>
    <n v="21"/>
    <n v="361"/>
    <x v="0"/>
    <n v="0"/>
    <s v="Good"/>
    <n v="1"/>
    <n v="12895.94"/>
    <s v="High Income"/>
    <s v="Self-employed"/>
    <s v="With Loan"/>
    <s v="Low-Risk"/>
  </r>
  <r>
    <s v="T000804"/>
    <s v="C3048"/>
    <s v="AC73072616"/>
    <x v="188"/>
    <x v="11"/>
    <x v="0"/>
    <x v="0"/>
    <n v="1992.08"/>
    <x v="0"/>
    <n v="35929.449999999997"/>
    <s v="Medium"/>
    <x v="0"/>
    <n v="67"/>
    <x v="3"/>
    <s v="Female"/>
    <s v="Checking"/>
    <x v="532"/>
    <s v="GBP"/>
    <x v="0"/>
    <n v="2.1499999999999998E-2"/>
    <n v="2.15"/>
    <s v="low"/>
    <n v="28912.63"/>
    <n v="621.62154499999997"/>
    <n v="13"/>
    <n v="322"/>
    <x v="0"/>
    <n v="1"/>
    <s v="Default"/>
    <n v="1"/>
    <n v="8704.57"/>
    <s v="High Income"/>
    <s v="Employed"/>
    <s v="With Loan"/>
    <s v="Low-Risk"/>
  </r>
  <r>
    <s v="T000805"/>
    <s v="C7233"/>
    <s v="AC65160409"/>
    <x v="82"/>
    <x v="16"/>
    <x v="4"/>
    <x v="1"/>
    <n v="3169.84"/>
    <x v="0"/>
    <n v="35138.06"/>
    <s v="Medium"/>
    <x v="3"/>
    <n v="59"/>
    <x v="2"/>
    <s v="Male"/>
    <s v="Savings"/>
    <x v="533"/>
    <s v="GBP"/>
    <x v="1"/>
    <n v="4.0599999999999997E-2"/>
    <n v="4.0599999999999996"/>
    <s v="high"/>
    <n v="26681.654999999999"/>
    <n v="1083.2751929999999"/>
    <n v="11"/>
    <n v="343"/>
    <x v="0"/>
    <n v="0"/>
    <s v="Good"/>
    <n v="1"/>
    <n v="6900.91"/>
    <s v="High Income"/>
    <s v="Employed"/>
    <s v="Without Loan"/>
    <s v="Low-Risk"/>
  </r>
  <r>
    <s v="T000806"/>
    <s v="C2828"/>
    <s v="AC30717501"/>
    <x v="307"/>
    <x v="2"/>
    <x v="11"/>
    <x v="1"/>
    <n v="7344.07"/>
    <x v="1"/>
    <n v="16892.939999999999"/>
    <s v="Medium"/>
    <x v="0"/>
    <n v="55"/>
    <x v="2"/>
    <s v="Female"/>
    <s v="Savings"/>
    <x v="534"/>
    <s v="USD"/>
    <x v="2"/>
    <n v="3.1600000000000003E-2"/>
    <n v="3.16"/>
    <s v="low"/>
    <n v="26681.654999999999"/>
    <n v="843.14029800000003"/>
    <n v="13"/>
    <n v="346"/>
    <x v="0"/>
    <n v="2"/>
    <s v="Good"/>
    <n v="1"/>
    <n v="13983.99"/>
    <s v="High Income"/>
    <s v="Self-employed"/>
    <s v="Without Loan"/>
    <s v="Low-Risk"/>
  </r>
  <r>
    <s v="T000807"/>
    <s v="C2917"/>
    <s v="AC16851803"/>
    <x v="443"/>
    <x v="13"/>
    <x v="2"/>
    <x v="2"/>
    <n v="6442.29"/>
    <x v="1"/>
    <n v="12460.95"/>
    <s v="Medium"/>
    <x v="2"/>
    <n v="29"/>
    <x v="0"/>
    <s v="Male"/>
    <s v="Checking"/>
    <x v="535"/>
    <s v="GBP"/>
    <x v="0"/>
    <n v="1.52E-2"/>
    <n v="1.52"/>
    <s v="low"/>
    <n v="10939.23"/>
    <n v="166.276296"/>
    <n v="14"/>
    <n v="323"/>
    <x v="0"/>
    <n v="1"/>
    <s v="Default"/>
    <n v="1"/>
    <n v="2471.2800000000002"/>
    <s v="Low Income"/>
    <s v="Unemployed"/>
    <s v="With Loan"/>
    <s v="Low-Risk"/>
  </r>
  <r>
    <s v="T000808"/>
    <s v="C5234"/>
    <s v="AC23045697"/>
    <x v="307"/>
    <x v="2"/>
    <x v="11"/>
    <x v="3"/>
    <n v="4217.84"/>
    <x v="1"/>
    <n v="11333.43"/>
    <s v="Medium"/>
    <x v="4"/>
    <n v="56"/>
    <x v="2"/>
    <s v="Male"/>
    <s v="Checking"/>
    <x v="264"/>
    <s v="EUR"/>
    <x v="2"/>
    <n v="3.1099999999999999E-2"/>
    <n v="3.11"/>
    <s v="low"/>
    <n v="48012.39"/>
    <n v="1493.1853289999999"/>
    <n v="13"/>
    <n v="388"/>
    <x v="0"/>
    <n v="2"/>
    <s v="Good"/>
    <n v="1"/>
    <n v="13129.69"/>
    <s v="High Income"/>
    <s v="Self-employed"/>
    <s v="With Loan"/>
    <s v="High-Risk"/>
  </r>
  <r>
    <s v="T000809"/>
    <s v="C7988"/>
    <s v="AC58120511"/>
    <x v="444"/>
    <x v="6"/>
    <x v="11"/>
    <x v="3"/>
    <n v="7614.78"/>
    <x v="0"/>
    <n v="43002.39"/>
    <s v="Medium"/>
    <x v="1"/>
    <n v="35"/>
    <x v="0"/>
    <s v="Female"/>
    <s v="Savings"/>
    <x v="75"/>
    <s v="EUR"/>
    <x v="0"/>
    <n v="2.58E-2"/>
    <n v="2.58"/>
    <s v="low"/>
    <n v="26681.654999999999"/>
    <n v="688.38669900000002"/>
    <n v="13"/>
    <n v="473"/>
    <x v="0"/>
    <n v="1"/>
    <s v="Default"/>
    <n v="1"/>
    <n v="5000.63"/>
    <s v="High Income"/>
    <s v="Unemployed"/>
    <s v="Without Loan"/>
    <s v="Low-Risk"/>
  </r>
  <r>
    <s v="T000810"/>
    <s v="C3026"/>
    <s v="AC82851397"/>
    <x v="396"/>
    <x v="6"/>
    <x v="10"/>
    <x v="0"/>
    <n v="6135.35"/>
    <x v="0"/>
    <n v="41200.910000000003"/>
    <s v="Medium"/>
    <x v="1"/>
    <n v="19"/>
    <x v="4"/>
    <s v="Female"/>
    <s v="Credit"/>
    <x v="536"/>
    <s v="GBP"/>
    <x v="1"/>
    <n v="1.72E-2"/>
    <n v="1.72"/>
    <s v="low"/>
    <n v="26681.654999999999"/>
    <n v="458.924466"/>
    <n v="11"/>
    <n v="418"/>
    <x v="0"/>
    <n v="0"/>
    <s v="Good"/>
    <n v="1"/>
    <n v="13033.57"/>
    <s v="High Income"/>
    <s v="Self-employed"/>
    <s v="Without Loan"/>
    <s v="Low-Risk"/>
  </r>
  <r>
    <s v="T000811"/>
    <s v="C4744"/>
    <s v="AC34101438"/>
    <x v="354"/>
    <x v="14"/>
    <x v="4"/>
    <x v="1"/>
    <n v="8970.7999999999993"/>
    <x v="0"/>
    <n v="22588.1"/>
    <s v="Medium"/>
    <x v="2"/>
    <n v="27"/>
    <x v="0"/>
    <s v="Male"/>
    <s v="Savings"/>
    <x v="537"/>
    <s v="USD"/>
    <x v="2"/>
    <n v="4.3700000000000003E-2"/>
    <n v="4.37"/>
    <s v="high"/>
    <n v="29218.75"/>
    <n v="1276.859375"/>
    <n v="4"/>
    <n v="477"/>
    <x v="0"/>
    <n v="2"/>
    <s v="Good"/>
    <n v="1"/>
    <n v="3809.56"/>
    <s v="Middle Income"/>
    <s v="Self-employed"/>
    <s v="With Loan"/>
    <s v="Low-Risk"/>
  </r>
  <r>
    <s v="T000812"/>
    <s v="C1009"/>
    <s v="AC46181576"/>
    <x v="85"/>
    <x v="5"/>
    <x v="2"/>
    <x v="3"/>
    <n v="8198.4599999999991"/>
    <x v="1"/>
    <n v="7487.83"/>
    <s v="Low"/>
    <x v="3"/>
    <n v="32"/>
    <x v="0"/>
    <s v="Female"/>
    <s v="Credit"/>
    <x v="4"/>
    <s v="GBP"/>
    <x v="1"/>
    <n v="1.04E-2"/>
    <n v="1.04"/>
    <s v="low"/>
    <n v="26681.654999999999"/>
    <n v="277.48921199999995"/>
    <n v="17"/>
    <n v="641"/>
    <x v="2"/>
    <n v="0"/>
    <s v="Good"/>
    <n v="2"/>
    <n v="9542.85"/>
    <s v="High Income"/>
    <s v="Self-employed"/>
    <s v="Without Loan"/>
    <s v="Low-Risk"/>
  </r>
  <r>
    <s v="T000813"/>
    <s v="C1260"/>
    <s v="AC12825896"/>
    <x v="162"/>
    <x v="26"/>
    <x v="9"/>
    <x v="2"/>
    <n v="2602.85"/>
    <x v="1"/>
    <n v="19730.36"/>
    <s v="Medium"/>
    <x v="4"/>
    <n v="47"/>
    <x v="2"/>
    <s v="Female"/>
    <s v="Savings"/>
    <x v="404"/>
    <s v="EUR"/>
    <x v="0"/>
    <n v="2.2499999999999999E-2"/>
    <n v="2.25"/>
    <s v="low"/>
    <n v="27264.080000000002"/>
    <n v="613.44180000000006"/>
    <n v="13"/>
    <n v="358"/>
    <x v="0"/>
    <n v="1"/>
    <s v="Default"/>
    <n v="1"/>
    <n v="13545.4"/>
    <s v="High Income"/>
    <s v="Employed"/>
    <s v="With Loan"/>
    <s v="Low-Risk"/>
  </r>
  <r>
    <s v="T000814"/>
    <s v="C7038"/>
    <s v="AC20427148"/>
    <x v="241"/>
    <x v="1"/>
    <x v="11"/>
    <x v="2"/>
    <n v="2787.24"/>
    <x v="0"/>
    <n v="31347.83"/>
    <s v="Medium"/>
    <x v="0"/>
    <n v="61"/>
    <x v="3"/>
    <s v="Female"/>
    <s v="Checking"/>
    <x v="538"/>
    <s v="USD"/>
    <x v="0"/>
    <n v="1.0500000000000001E-2"/>
    <n v="1.05"/>
    <s v="low"/>
    <n v="18498.830000000002"/>
    <n v="194.23771500000004"/>
    <n v="13"/>
    <n v="737"/>
    <x v="3"/>
    <n v="1"/>
    <s v="Default"/>
    <n v="3"/>
    <n v="8156.02"/>
    <s v="High Income"/>
    <s v="Employed"/>
    <s v="With Loan"/>
    <s v="Low-Risk"/>
  </r>
  <r>
    <s v="T000815"/>
    <s v="C3219"/>
    <s v="AC14876872"/>
    <x v="334"/>
    <x v="11"/>
    <x v="10"/>
    <x v="1"/>
    <n v="1341.03"/>
    <x v="0"/>
    <n v="23265.75"/>
    <s v="Medium"/>
    <x v="2"/>
    <n v="34"/>
    <x v="0"/>
    <s v="Male"/>
    <s v="Credit"/>
    <x v="154"/>
    <s v="GBP"/>
    <x v="0"/>
    <n v="1.38E-2"/>
    <n v="1.38"/>
    <s v="low"/>
    <n v="12216.84"/>
    <n v="168.59239199999999"/>
    <n v="13"/>
    <n v="727"/>
    <x v="3"/>
    <n v="1"/>
    <s v="Default"/>
    <n v="3"/>
    <n v="11705.37"/>
    <s v="High Income"/>
    <s v="Unemployed"/>
    <s v="With Loan"/>
    <s v="Low-Risk"/>
  </r>
  <r>
    <s v="T000816"/>
    <s v="C8041"/>
    <s v="AC29397196"/>
    <x v="410"/>
    <x v="16"/>
    <x v="9"/>
    <x v="2"/>
    <n v="3435.95"/>
    <x v="0"/>
    <n v="39229.269999999997"/>
    <s v="Medium"/>
    <x v="4"/>
    <n v="21"/>
    <x v="4"/>
    <s v="Female"/>
    <s v="Checking"/>
    <x v="238"/>
    <s v="USD"/>
    <x v="0"/>
    <n v="2.1899999999999999E-2"/>
    <n v="2.19"/>
    <s v="low"/>
    <n v="26681.654999999999"/>
    <n v="584.32824449999998"/>
    <n v="13"/>
    <n v="725"/>
    <x v="3"/>
    <n v="1"/>
    <s v="Default"/>
    <n v="3"/>
    <n v="12460.73"/>
    <s v="High Income"/>
    <s v="Self-employed"/>
    <s v="Without Loan"/>
    <s v="Low-Risk"/>
  </r>
  <r>
    <s v="T000817"/>
    <s v="C3060"/>
    <s v="AC41935646"/>
    <x v="28"/>
    <x v="16"/>
    <x v="8"/>
    <x v="2"/>
    <n v="9995.48"/>
    <x v="0"/>
    <n v="49883.519999999997"/>
    <s v="Medium"/>
    <x v="4"/>
    <n v="24"/>
    <x v="4"/>
    <s v="Female"/>
    <s v="Checking"/>
    <x v="280"/>
    <s v="USD"/>
    <x v="0"/>
    <n v="1.2200000000000001E-2"/>
    <n v="1.22"/>
    <s v="low"/>
    <n v="46824.160000000003"/>
    <n v="571.25475200000005"/>
    <n v="21"/>
    <n v="680"/>
    <x v="3"/>
    <n v="1"/>
    <s v="Default"/>
    <n v="3"/>
    <n v="11574.42"/>
    <s v="High Income"/>
    <s v="Employed"/>
    <s v="With Loan"/>
    <s v="Low-Risk"/>
  </r>
  <r>
    <s v="T000818"/>
    <s v="C6287"/>
    <s v="AC94607464"/>
    <x v="279"/>
    <x v="24"/>
    <x v="11"/>
    <x v="1"/>
    <n v="4116.9399999999996"/>
    <x v="1"/>
    <n v="10365.469999999999"/>
    <s v="Medium"/>
    <x v="0"/>
    <n v="58"/>
    <x v="2"/>
    <s v="Male"/>
    <s v="Checking"/>
    <x v="356"/>
    <s v="EUR"/>
    <x v="2"/>
    <n v="3.39E-2"/>
    <n v="3.39"/>
    <s v="low"/>
    <n v="11912.83"/>
    <n v="403.84493700000002"/>
    <n v="15"/>
    <n v="785"/>
    <x v="4"/>
    <n v="2"/>
    <s v="Good"/>
    <n v="4"/>
    <n v="14029.29"/>
    <s v="High Income"/>
    <s v="Self-employed"/>
    <s v="With Loan"/>
    <s v="Low-Risk"/>
  </r>
  <r>
    <s v="T000819"/>
    <s v="C2619"/>
    <s v="AC75969098"/>
    <x v="57"/>
    <x v="6"/>
    <x v="9"/>
    <x v="0"/>
    <n v="2282.84"/>
    <x v="0"/>
    <n v="23522.89"/>
    <s v="Medium"/>
    <x v="4"/>
    <n v="48"/>
    <x v="2"/>
    <s v="Female"/>
    <s v="Checking"/>
    <x v="68"/>
    <s v="USD"/>
    <x v="0"/>
    <n v="1.35E-2"/>
    <n v="1.35"/>
    <s v="low"/>
    <n v="26681.654999999999"/>
    <n v="360.20234249999999"/>
    <n v="8"/>
    <n v="484"/>
    <x v="0"/>
    <n v="1"/>
    <s v="Default"/>
    <n v="1"/>
    <n v="7808.84"/>
    <s v="High Income"/>
    <s v="Unemployed"/>
    <s v="Without Loan"/>
    <s v="Low-Risk"/>
  </r>
  <r>
    <s v="T000820"/>
    <s v="C9512"/>
    <s v="AC25099203"/>
    <x v="414"/>
    <x v="3"/>
    <x v="8"/>
    <x v="0"/>
    <n v="7648.58"/>
    <x v="0"/>
    <n v="22118.21"/>
    <s v="Medium"/>
    <x v="3"/>
    <n v="68"/>
    <x v="3"/>
    <s v="Female"/>
    <s v="Checking"/>
    <x v="311"/>
    <s v="GBP"/>
    <x v="1"/>
    <n v="3.8100000000000002E-2"/>
    <n v="3.81"/>
    <s v="low"/>
    <n v="26681.654999999999"/>
    <n v="1016.5710555000001"/>
    <n v="18"/>
    <n v="759"/>
    <x v="4"/>
    <n v="0"/>
    <s v="Good"/>
    <n v="4"/>
    <n v="4250.63"/>
    <s v="Middle Income"/>
    <s v="Employed"/>
    <s v="Without Loan"/>
    <s v="Low-Risk"/>
  </r>
  <r>
    <s v="T000821"/>
    <s v="C2342"/>
    <s v="AC75244261"/>
    <x v="27"/>
    <x v="15"/>
    <x v="2"/>
    <x v="2"/>
    <n v="5470.46"/>
    <x v="1"/>
    <n v="15920.13"/>
    <s v="Medium"/>
    <x v="3"/>
    <n v="56"/>
    <x v="2"/>
    <s v="Male"/>
    <s v="Savings"/>
    <x v="539"/>
    <s v="USD"/>
    <x v="2"/>
    <n v="1.21E-2"/>
    <n v="1.21"/>
    <s v="low"/>
    <n v="26681.654999999999"/>
    <n v="322.84802549999995"/>
    <n v="13"/>
    <n v="401"/>
    <x v="0"/>
    <n v="2"/>
    <s v="Good"/>
    <n v="1"/>
    <n v="2621.54"/>
    <s v="Low Income"/>
    <s v="Unemployed"/>
    <s v="Without Loan"/>
    <s v="Low-Risk"/>
  </r>
  <r>
    <s v="T000822"/>
    <s v="C3832"/>
    <s v="AC72419437"/>
    <x v="445"/>
    <x v="7"/>
    <x v="11"/>
    <x v="0"/>
    <n v="1581.05"/>
    <x v="1"/>
    <n v="10706.68"/>
    <s v="Medium"/>
    <x v="3"/>
    <n v="51"/>
    <x v="2"/>
    <s v="Male"/>
    <s v="Credit"/>
    <x v="540"/>
    <s v="USD"/>
    <x v="1"/>
    <n v="1.24E-2"/>
    <n v="1.24"/>
    <s v="low"/>
    <n v="18226.52"/>
    <n v="226.008848"/>
    <n v="13"/>
    <n v="314"/>
    <x v="0"/>
    <n v="0"/>
    <s v="Good"/>
    <n v="1"/>
    <n v="5203.9799999999996"/>
    <s v="High Income"/>
    <s v="Employed"/>
    <s v="With Loan"/>
    <s v="Low-Risk"/>
  </r>
  <r>
    <s v="T000823"/>
    <s v="C3824"/>
    <s v="AC93428995"/>
    <x v="11"/>
    <x v="5"/>
    <x v="3"/>
    <x v="0"/>
    <n v="3868.83"/>
    <x v="1"/>
    <n v="4218.91"/>
    <s v="Low"/>
    <x v="4"/>
    <n v="23"/>
    <x v="4"/>
    <s v="Female"/>
    <s v="Savings"/>
    <x v="541"/>
    <s v="GBP"/>
    <x v="0"/>
    <n v="2.2200000000000001E-2"/>
    <n v="2.2200000000000002"/>
    <s v="low"/>
    <n v="26681.654999999999"/>
    <n v="592.33274100000006"/>
    <n v="10"/>
    <n v="350"/>
    <x v="0"/>
    <n v="1"/>
    <s v="Default"/>
    <n v="1"/>
    <n v="3861.57"/>
    <s v="Middle Income"/>
    <s v="Self-employed"/>
    <s v="Without Loan"/>
    <s v="Low-Risk"/>
  </r>
  <r>
    <s v="T000824"/>
    <s v="C2994"/>
    <s v="AC58719461"/>
    <x v="363"/>
    <x v="14"/>
    <x v="5"/>
    <x v="2"/>
    <n v="4203.25"/>
    <x v="0"/>
    <n v="44468.85"/>
    <s v="Medium"/>
    <x v="3"/>
    <n v="67"/>
    <x v="3"/>
    <s v="Female"/>
    <s v="Savings"/>
    <x v="542"/>
    <s v="EUR"/>
    <x v="1"/>
    <n v="4.5900000000000003E-2"/>
    <n v="4.59"/>
    <s v="high"/>
    <n v="26681.654999999999"/>
    <n v="1224.6879645000001"/>
    <n v="13"/>
    <n v="608"/>
    <x v="2"/>
    <n v="0"/>
    <s v="Good"/>
    <n v="2"/>
    <n v="9253.33"/>
    <s v="High Income"/>
    <s v="Unemployed"/>
    <s v="Without Loan"/>
    <s v="Low-Risk"/>
  </r>
  <r>
    <s v="T000825"/>
    <s v="C4490"/>
    <s v="AC12887698"/>
    <x v="46"/>
    <x v="22"/>
    <x v="3"/>
    <x v="0"/>
    <n v="7562.91"/>
    <x v="0"/>
    <n v="21572.59"/>
    <s v="Medium"/>
    <x v="0"/>
    <n v="55"/>
    <x v="2"/>
    <s v="Male"/>
    <s v="Savings"/>
    <x v="167"/>
    <s v="EUR"/>
    <x v="2"/>
    <n v="3.5700000000000003E-2"/>
    <n v="3.57"/>
    <s v="low"/>
    <n v="29102.67"/>
    <n v="1038.9653189999999"/>
    <n v="9"/>
    <n v="333"/>
    <x v="0"/>
    <n v="2"/>
    <s v="Good"/>
    <n v="1"/>
    <n v="4404.29"/>
    <s v="Middle Income"/>
    <s v="Employed"/>
    <s v="With Loan"/>
    <s v="Low-Risk"/>
  </r>
  <r>
    <s v="T000826"/>
    <s v="C8984"/>
    <s v="AC62764241"/>
    <x v="287"/>
    <x v="22"/>
    <x v="0"/>
    <x v="2"/>
    <n v="304.64999999999998"/>
    <x v="0"/>
    <n v="25347.88"/>
    <s v="Medium"/>
    <x v="4"/>
    <n v="62"/>
    <x v="3"/>
    <s v="Male"/>
    <s v="Checking"/>
    <x v="533"/>
    <s v="GBP"/>
    <x v="2"/>
    <n v="4.0800000000000003E-2"/>
    <n v="4.08"/>
    <s v="high"/>
    <n v="7709.92"/>
    <n v="314.56473600000004"/>
    <n v="13"/>
    <n v="504"/>
    <x v="0"/>
    <n v="2"/>
    <s v="Good"/>
    <n v="1"/>
    <n v="2506.14"/>
    <s v="Low Income"/>
    <s v="Employed"/>
    <s v="With Loan"/>
    <s v="Low-Risk"/>
  </r>
  <r>
    <s v="T000827"/>
    <s v="C2604"/>
    <s v="AC22417420"/>
    <x v="446"/>
    <x v="0"/>
    <x v="9"/>
    <x v="3"/>
    <n v="2763.29"/>
    <x v="0"/>
    <n v="45930.16"/>
    <s v="Medium"/>
    <x v="1"/>
    <n v="68"/>
    <x v="3"/>
    <s v="Female"/>
    <s v="Savings"/>
    <x v="543"/>
    <s v="GBP"/>
    <x v="2"/>
    <n v="1.5699999999999999E-2"/>
    <n v="1.57"/>
    <s v="low"/>
    <n v="8667.0499999999993"/>
    <n v="136.07268499999998"/>
    <n v="13"/>
    <n v="369"/>
    <x v="0"/>
    <n v="2"/>
    <s v="Good"/>
    <n v="1"/>
    <n v="2467.87"/>
    <s v="Low Income"/>
    <s v="Self-employed"/>
    <s v="With Loan"/>
    <s v="Low-Risk"/>
  </r>
  <r>
    <s v="T000828"/>
    <s v="C1235"/>
    <s v="AC81140328"/>
    <x v="447"/>
    <x v="3"/>
    <x v="6"/>
    <x v="1"/>
    <n v="5224.2"/>
    <x v="0"/>
    <n v="39038.230000000003"/>
    <s v="Medium"/>
    <x v="4"/>
    <n v="51"/>
    <x v="2"/>
    <s v="Female"/>
    <s v="Credit"/>
    <x v="279"/>
    <s v="EUR"/>
    <x v="1"/>
    <n v="4.3400000000000001E-2"/>
    <n v="4.34"/>
    <s v="high"/>
    <n v="33935.58"/>
    <n v="1472.8041720000001"/>
    <n v="13"/>
    <n v="529"/>
    <x v="0"/>
    <n v="0"/>
    <s v="Good"/>
    <n v="1"/>
    <n v="12810.4"/>
    <s v="High Income"/>
    <s v="Unemployed"/>
    <s v="With Loan"/>
    <s v="High-Risk"/>
  </r>
  <r>
    <s v="T000829"/>
    <s v="C2908"/>
    <s v="AC30167958"/>
    <x v="222"/>
    <x v="28"/>
    <x v="2"/>
    <x v="1"/>
    <n v="2761.58"/>
    <x v="1"/>
    <n v="7394.56"/>
    <s v="Low"/>
    <x v="0"/>
    <n v="61"/>
    <x v="3"/>
    <s v="Female"/>
    <s v="Savings"/>
    <x v="59"/>
    <s v="USD"/>
    <x v="2"/>
    <n v="1.03E-2"/>
    <n v="1.03"/>
    <s v="low"/>
    <n v="26681.654999999999"/>
    <n v="274.82104649999997"/>
    <n v="13"/>
    <n v="779"/>
    <x v="4"/>
    <n v="2"/>
    <s v="Good"/>
    <n v="4"/>
    <n v="9688.85"/>
    <s v="High Income"/>
    <s v="Unemployed"/>
    <s v="Without Loan"/>
    <s v="Low-Risk"/>
  </r>
  <r>
    <s v="T000830"/>
    <s v="C9567"/>
    <s v="AC32910282"/>
    <x v="25"/>
    <x v="13"/>
    <x v="6"/>
    <x v="0"/>
    <n v="6321.5"/>
    <x v="0"/>
    <n v="28705.58"/>
    <s v="Medium"/>
    <x v="1"/>
    <n v="32"/>
    <x v="0"/>
    <s v="Male"/>
    <s v="Checking"/>
    <x v="271"/>
    <s v="GBP"/>
    <x v="1"/>
    <n v="1.8499999999999999E-2"/>
    <n v="1.85"/>
    <s v="low"/>
    <n v="48693.97"/>
    <n v="900.83844499999998"/>
    <n v="13"/>
    <n v="832"/>
    <x v="1"/>
    <n v="0"/>
    <s v="Good"/>
    <n v="5"/>
    <n v="6655.11"/>
    <s v="High Income"/>
    <s v="Unemployed"/>
    <s v="With Loan"/>
    <s v="Low-Risk"/>
  </r>
  <r>
    <s v="T000831"/>
    <s v="C4530"/>
    <s v="AC12887296"/>
    <x v="272"/>
    <x v="19"/>
    <x v="1"/>
    <x v="0"/>
    <n v="4870.49"/>
    <x v="0"/>
    <n v="22670.36"/>
    <s v="Medium"/>
    <x v="4"/>
    <n v="31"/>
    <x v="0"/>
    <s v="Female"/>
    <s v="Credit"/>
    <x v="413"/>
    <s v="USD"/>
    <x v="0"/>
    <n v="3.4599999999999999E-2"/>
    <n v="3.46"/>
    <s v="low"/>
    <n v="26681.654999999999"/>
    <n v="923.18526299999996"/>
    <n v="13"/>
    <n v="407"/>
    <x v="0"/>
    <n v="1"/>
    <s v="Default"/>
    <n v="1"/>
    <n v="13624.96"/>
    <s v="High Income"/>
    <s v="Self-employed"/>
    <s v="Without Loan"/>
    <s v="Low-Risk"/>
  </r>
  <r>
    <s v="T000832"/>
    <s v="C6256"/>
    <s v="AC77084285"/>
    <x v="314"/>
    <x v="15"/>
    <x v="3"/>
    <x v="0"/>
    <n v="3680.93"/>
    <x v="0"/>
    <n v="40063.339999999997"/>
    <s v="Medium"/>
    <x v="3"/>
    <n v="23"/>
    <x v="4"/>
    <s v="Male"/>
    <s v="Credit"/>
    <x v="17"/>
    <s v="GBP"/>
    <x v="0"/>
    <n v="2.5000000000000001E-2"/>
    <n v="2.5"/>
    <s v="low"/>
    <n v="5453.31"/>
    <n v="136.33275"/>
    <n v="4"/>
    <n v="540"/>
    <x v="0"/>
    <n v="1"/>
    <s v="Default"/>
    <n v="1"/>
    <n v="2912.56"/>
    <s v="Low Income"/>
    <s v="Employed"/>
    <s v="With Loan"/>
    <s v="Low-Risk"/>
  </r>
  <r>
    <s v="T000833"/>
    <s v="C3635"/>
    <s v="AC66861493"/>
    <x v="52"/>
    <x v="26"/>
    <x v="2"/>
    <x v="1"/>
    <n v="9497.17"/>
    <x v="0"/>
    <n v="36487.39"/>
    <s v="Medium"/>
    <x v="2"/>
    <n v="67"/>
    <x v="3"/>
    <s v="Male"/>
    <s v="Credit"/>
    <x v="313"/>
    <s v="EUR"/>
    <x v="1"/>
    <n v="4.9399999999999999E-2"/>
    <n v="4.9400000000000004"/>
    <s v="high"/>
    <n v="26645.85"/>
    <n v="1316.3049899999999"/>
    <n v="13"/>
    <n v="550"/>
    <x v="0"/>
    <n v="0"/>
    <s v="Good"/>
    <n v="1"/>
    <n v="14744.19"/>
    <s v="High Income"/>
    <s v="Employed"/>
    <s v="With Loan"/>
    <s v="Low-Risk"/>
  </r>
  <r>
    <s v="T000834"/>
    <s v="C9162"/>
    <s v="AC34733272"/>
    <x v="380"/>
    <x v="0"/>
    <x v="6"/>
    <x v="3"/>
    <n v="6358.38"/>
    <x v="0"/>
    <n v="34829.879999999997"/>
    <s v="Medium"/>
    <x v="2"/>
    <n v="54"/>
    <x v="2"/>
    <s v="Male"/>
    <s v="Credit"/>
    <x v="418"/>
    <s v="USD"/>
    <x v="2"/>
    <n v="1.12E-2"/>
    <n v="1.1200000000000001"/>
    <s v="low"/>
    <n v="26681.654999999999"/>
    <n v="298.83453599999996"/>
    <n v="27"/>
    <n v="434"/>
    <x v="0"/>
    <n v="2"/>
    <s v="Good"/>
    <n v="1"/>
    <n v="10011.790000000001"/>
    <s v="High Income"/>
    <s v="Unemployed"/>
    <s v="Without Loan"/>
    <s v="Low-Risk"/>
  </r>
  <r>
    <s v="T000835"/>
    <s v="C3560"/>
    <s v="AC78209364"/>
    <x v="448"/>
    <x v="16"/>
    <x v="11"/>
    <x v="3"/>
    <n v="1386.42"/>
    <x v="1"/>
    <n v="17686.7"/>
    <s v="Medium"/>
    <x v="3"/>
    <n v="67"/>
    <x v="3"/>
    <s v="Female"/>
    <s v="Savings"/>
    <x v="544"/>
    <s v="USD"/>
    <x v="1"/>
    <n v="4.99E-2"/>
    <n v="4.99"/>
    <s v="high"/>
    <n v="26681.654999999999"/>
    <n v="1331.4145845"/>
    <n v="6"/>
    <n v="389"/>
    <x v="0"/>
    <n v="0"/>
    <s v="Good"/>
    <n v="1"/>
    <n v="4385.04"/>
    <s v="Middle Income"/>
    <s v="Employed"/>
    <s v="Without Loan"/>
    <s v="Low-Risk"/>
  </r>
  <r>
    <s v="T000836"/>
    <s v="C6415"/>
    <s v="AC61908238"/>
    <x v="187"/>
    <x v="29"/>
    <x v="9"/>
    <x v="1"/>
    <n v="5644.91"/>
    <x v="0"/>
    <n v="40443.22"/>
    <s v="Medium"/>
    <x v="2"/>
    <n v="49"/>
    <x v="2"/>
    <s v="Female"/>
    <s v="Checking"/>
    <x v="545"/>
    <s v="GBP"/>
    <x v="1"/>
    <n v="3.49E-2"/>
    <n v="3.49"/>
    <s v="low"/>
    <n v="26681.654999999999"/>
    <n v="931.18975949999992"/>
    <n v="22"/>
    <n v="739"/>
    <x v="3"/>
    <n v="0"/>
    <s v="Good"/>
    <n v="3"/>
    <n v="10827.9"/>
    <s v="High Income"/>
    <s v="Unemployed"/>
    <s v="Without Loan"/>
    <s v="Low-Risk"/>
  </r>
  <r>
    <s v="T000837"/>
    <s v="C4391"/>
    <s v="AC32371392"/>
    <x v="403"/>
    <x v="6"/>
    <x v="2"/>
    <x v="3"/>
    <n v="7829.25"/>
    <x v="1"/>
    <n v="3567.17"/>
    <s v="Low"/>
    <x v="2"/>
    <n v="20"/>
    <x v="4"/>
    <s v="Female"/>
    <s v="Credit"/>
    <x v="394"/>
    <s v="USD"/>
    <x v="1"/>
    <n v="3.2300000000000002E-2"/>
    <n v="3.23"/>
    <s v="low"/>
    <n v="41225.51"/>
    <n v="1331.5839730000002"/>
    <n v="26"/>
    <n v="597"/>
    <x v="2"/>
    <n v="0"/>
    <s v="Good"/>
    <n v="2"/>
    <n v="11923.96"/>
    <s v="High Income"/>
    <s v="Self-employed"/>
    <s v="With Loan"/>
    <s v="High-Risk"/>
  </r>
  <r>
    <s v="T000838"/>
    <s v="C6951"/>
    <s v="AC79070841"/>
    <x v="349"/>
    <x v="27"/>
    <x v="8"/>
    <x v="1"/>
    <n v="7114.05"/>
    <x v="1"/>
    <n v="8821.6200000000008"/>
    <s v="Low"/>
    <x v="3"/>
    <n v="20"/>
    <x v="4"/>
    <s v="Male"/>
    <s v="Credit"/>
    <x v="407"/>
    <s v="GBP"/>
    <x v="0"/>
    <n v="1.24E-2"/>
    <n v="1.24"/>
    <s v="low"/>
    <n v="15353.87"/>
    <n v="190.38798800000001"/>
    <n v="22"/>
    <n v="706"/>
    <x v="3"/>
    <n v="1"/>
    <s v="Default"/>
    <n v="3"/>
    <n v="7581.46"/>
    <s v="High Income"/>
    <s v="Self-employed"/>
    <s v="With Loan"/>
    <s v="Low-Risk"/>
  </r>
  <r>
    <s v="T000839"/>
    <s v="C6468"/>
    <s v="AC14032654"/>
    <x v="449"/>
    <x v="14"/>
    <x v="9"/>
    <x v="3"/>
    <n v="1803.68"/>
    <x v="1"/>
    <n v="17445.54"/>
    <s v="Medium"/>
    <x v="3"/>
    <n v="39"/>
    <x v="1"/>
    <s v="Female"/>
    <s v="Checking"/>
    <x v="33"/>
    <s v="EUR"/>
    <x v="1"/>
    <n v="2.0899999999999998E-2"/>
    <n v="2.09"/>
    <s v="low"/>
    <n v="26681.654999999999"/>
    <n v="557.64658949999989"/>
    <n v="5"/>
    <n v="607"/>
    <x v="2"/>
    <n v="0"/>
    <s v="Good"/>
    <n v="2"/>
    <n v="13201.22"/>
    <s v="High Income"/>
    <s v="Self-employed"/>
    <s v="Without Loan"/>
    <s v="Low-Risk"/>
  </r>
  <r>
    <s v="T000840"/>
    <s v="C9007"/>
    <s v="AC44218900"/>
    <x v="450"/>
    <x v="7"/>
    <x v="5"/>
    <x v="2"/>
    <n v="9726.9599999999991"/>
    <x v="1"/>
    <n v="4763.5600000000004"/>
    <s v="Low"/>
    <x v="4"/>
    <n v="39"/>
    <x v="1"/>
    <s v="Male"/>
    <s v="Savings"/>
    <x v="546"/>
    <s v="USD"/>
    <x v="0"/>
    <n v="4.7E-2"/>
    <n v="4.7E-2"/>
    <s v="low"/>
    <n v="26681.654999999999"/>
    <n v="1254.037785"/>
    <n v="13"/>
    <n v="401"/>
    <x v="0"/>
    <n v="1"/>
    <s v="Default"/>
    <n v="1"/>
    <n v="3959.52"/>
    <s v="Middle Income"/>
    <s v="Unemployed"/>
    <s v="Without Loan"/>
    <s v="Low-Risk"/>
  </r>
  <r>
    <s v="T000841"/>
    <s v="C7413"/>
    <s v="AC33277458"/>
    <x v="234"/>
    <x v="28"/>
    <x v="0"/>
    <x v="2"/>
    <n v="4543.26"/>
    <x v="1"/>
    <n v="12514.72"/>
    <s v="Medium"/>
    <x v="4"/>
    <n v="27"/>
    <x v="0"/>
    <s v="Male"/>
    <s v="Credit"/>
    <x v="238"/>
    <s v="GBP"/>
    <x v="1"/>
    <n v="2.4199999999999999E-2"/>
    <n v="2.42"/>
    <s v="low"/>
    <n v="18352.29"/>
    <n v="444.12541800000002"/>
    <n v="13"/>
    <n v="660"/>
    <x v="2"/>
    <n v="0"/>
    <s v="Good"/>
    <n v="2"/>
    <n v="5624.89"/>
    <s v="High Income"/>
    <s v="Employed"/>
    <s v="With Loan"/>
    <s v="Low-Risk"/>
  </r>
  <r>
    <s v="T000842"/>
    <s v="C7941"/>
    <s v="AC68231611"/>
    <x v="401"/>
    <x v="8"/>
    <x v="2"/>
    <x v="1"/>
    <n v="1674.35"/>
    <x v="0"/>
    <n v="41677.4"/>
    <s v="Medium"/>
    <x v="3"/>
    <n v="68"/>
    <x v="3"/>
    <s v="Male"/>
    <s v="Savings"/>
    <x v="547"/>
    <s v="USD"/>
    <x v="0"/>
    <n v="3.6499999999999998E-2"/>
    <n v="3.65"/>
    <s v="low"/>
    <n v="26681.654999999999"/>
    <n v="973.88040749999993"/>
    <n v="13"/>
    <n v="827"/>
    <x v="1"/>
    <n v="1"/>
    <s v="Default"/>
    <n v="5"/>
    <n v="3215.4"/>
    <s v="Middle Income"/>
    <s v="Self-employed"/>
    <s v="Without Loan"/>
    <s v="Low-Risk"/>
  </r>
  <r>
    <s v="T000843"/>
    <s v="C5820"/>
    <s v="AC84087004"/>
    <x v="185"/>
    <x v="15"/>
    <x v="1"/>
    <x v="3"/>
    <n v="1883.94"/>
    <x v="0"/>
    <n v="47464.33"/>
    <s v="Medium"/>
    <x v="0"/>
    <n v="20"/>
    <x v="4"/>
    <s v="Male"/>
    <s v="Savings"/>
    <x v="259"/>
    <s v="GBP"/>
    <x v="1"/>
    <n v="0.05"/>
    <n v="0.05"/>
    <s v="low"/>
    <n v="26681.654999999999"/>
    <n v="1334.08275"/>
    <n v="9"/>
    <n v="592"/>
    <x v="2"/>
    <n v="0"/>
    <s v="Good"/>
    <n v="2"/>
    <n v="4741.41"/>
    <s v="Middle Income"/>
    <s v="Unemployed"/>
    <s v="Without Loan"/>
    <s v="Low-Risk"/>
  </r>
  <r>
    <s v="T000844"/>
    <s v="C3898"/>
    <s v="AC58076248"/>
    <x v="451"/>
    <x v="17"/>
    <x v="6"/>
    <x v="0"/>
    <n v="1072.53"/>
    <x v="1"/>
    <n v="15925.52"/>
    <s v="Medium"/>
    <x v="2"/>
    <n v="29"/>
    <x v="0"/>
    <s v="Male"/>
    <s v="Savings"/>
    <x v="548"/>
    <s v="GBP"/>
    <x v="1"/>
    <n v="2.0500000000000001E-2"/>
    <n v="2.0499999999999998"/>
    <s v="low"/>
    <n v="48616.5"/>
    <n v="996.63825000000008"/>
    <n v="19"/>
    <n v="445"/>
    <x v="0"/>
    <n v="0"/>
    <s v="Good"/>
    <n v="1"/>
    <n v="5103.47"/>
    <s v="High Income"/>
    <s v="Unemployed"/>
    <s v="With Loan"/>
    <s v="High-Risk"/>
  </r>
  <r>
    <s v="T000845"/>
    <s v="C8546"/>
    <s v="AC21748768"/>
    <x v="11"/>
    <x v="5"/>
    <x v="3"/>
    <x v="3"/>
    <n v="8054.83"/>
    <x v="1"/>
    <n v="13961.27"/>
    <s v="Medium"/>
    <x v="4"/>
    <n v="46"/>
    <x v="2"/>
    <s v="Male"/>
    <s v="Savings"/>
    <x v="401"/>
    <s v="GBP"/>
    <x v="2"/>
    <n v="3.3000000000000002E-2"/>
    <n v="3.3000000000000002E-2"/>
    <s v="low"/>
    <n v="26681.654999999999"/>
    <n v="880.49461499999995"/>
    <n v="19"/>
    <n v="703"/>
    <x v="3"/>
    <n v="2"/>
    <s v="Good"/>
    <n v="3"/>
    <n v="13929.23"/>
    <s v="High Income"/>
    <s v="Self-employed"/>
    <s v="Without Loan"/>
    <s v="Low-Risk"/>
  </r>
  <r>
    <s v="T000846"/>
    <s v="C1077"/>
    <s v="AC90720176"/>
    <x v="323"/>
    <x v="11"/>
    <x v="11"/>
    <x v="2"/>
    <n v="1308.0999999999999"/>
    <x v="1"/>
    <n v="14714.74"/>
    <s v="Medium"/>
    <x v="2"/>
    <n v="65"/>
    <x v="3"/>
    <s v="Female"/>
    <s v="Credit"/>
    <x v="48"/>
    <s v="EUR"/>
    <x v="2"/>
    <n v="3.7900000000000003E-2"/>
    <n v="3.79"/>
    <s v="low"/>
    <n v="31614.36"/>
    <n v="1198.184244"/>
    <n v="13"/>
    <n v="301"/>
    <x v="0"/>
    <n v="2"/>
    <s v="Good"/>
    <n v="1"/>
    <n v="3015.43"/>
    <s v="Middle Income"/>
    <s v="Self-employed"/>
    <s v="With Loan"/>
    <s v="Low-Risk"/>
  </r>
  <r>
    <s v="T000847"/>
    <s v="C8577"/>
    <s v="AC72005983"/>
    <x v="452"/>
    <x v="29"/>
    <x v="1"/>
    <x v="2"/>
    <n v="1338.74"/>
    <x v="1"/>
    <n v="14608.24"/>
    <s v="Medium"/>
    <x v="1"/>
    <n v="34"/>
    <x v="0"/>
    <s v="Male"/>
    <s v="Credit"/>
    <x v="432"/>
    <s v="USD"/>
    <x v="1"/>
    <n v="1.66E-2"/>
    <n v="1.66"/>
    <s v="low"/>
    <n v="43623.92"/>
    <n v="724.15707199999997"/>
    <n v="13"/>
    <n v="418"/>
    <x v="0"/>
    <n v="0"/>
    <s v="Good"/>
    <n v="1"/>
    <n v="7556.4"/>
    <s v="High Income"/>
    <s v="Self-employed"/>
    <s v="With Loan"/>
    <s v="High-Risk"/>
  </r>
  <r>
    <s v="T000848"/>
    <s v="C5227"/>
    <s v="AC39718818"/>
    <x v="282"/>
    <x v="14"/>
    <x v="7"/>
    <x v="3"/>
    <n v="8519.67"/>
    <x v="1"/>
    <n v="2760.58"/>
    <s v="Low"/>
    <x v="3"/>
    <n v="24"/>
    <x v="4"/>
    <s v="Female"/>
    <s v="Savings"/>
    <x v="7"/>
    <s v="EUR"/>
    <x v="1"/>
    <n v="1.5900000000000001E-2"/>
    <n v="1.59"/>
    <s v="low"/>
    <n v="26633.34"/>
    <n v="423.47010600000004"/>
    <n v="13"/>
    <n v="490"/>
    <x v="0"/>
    <n v="0"/>
    <s v="Good"/>
    <n v="1"/>
    <n v="8921.18"/>
    <s v="High Income"/>
    <s v="Employed"/>
    <s v="With Loan"/>
    <s v="Low-Risk"/>
  </r>
  <r>
    <s v="T000849"/>
    <s v="C1600"/>
    <s v="AC46591531"/>
    <x v="17"/>
    <x v="1"/>
    <x v="6"/>
    <x v="3"/>
    <n v="3511.58"/>
    <x v="0"/>
    <n v="46418.9"/>
    <s v="Medium"/>
    <x v="0"/>
    <n v="30"/>
    <x v="0"/>
    <s v="Male"/>
    <s v="Savings"/>
    <x v="549"/>
    <s v="GBP"/>
    <x v="1"/>
    <n v="2.8299999999999999E-2"/>
    <n v="2.83"/>
    <s v="low"/>
    <n v="26681.654999999999"/>
    <n v="755.09083649999991"/>
    <n v="12"/>
    <n v="302"/>
    <x v="0"/>
    <n v="0"/>
    <s v="Good"/>
    <n v="1"/>
    <n v="13683.01"/>
    <s v="High Income"/>
    <s v="Employed"/>
    <s v="Without Loan"/>
    <s v="Low-Risk"/>
  </r>
  <r>
    <s v="T000850"/>
    <s v="C2065"/>
    <s v="AC72994533"/>
    <x v="449"/>
    <x v="14"/>
    <x v="9"/>
    <x v="0"/>
    <n v="405.49"/>
    <x v="1"/>
    <n v="11471.21"/>
    <s v="Medium"/>
    <x v="1"/>
    <n v="19"/>
    <x v="4"/>
    <s v="Female"/>
    <s v="Checking"/>
    <x v="463"/>
    <s v="GBP"/>
    <x v="1"/>
    <n v="2.5399999999999999E-2"/>
    <n v="2.54"/>
    <s v="low"/>
    <n v="26681.654999999999"/>
    <n v="677.71403699999996"/>
    <n v="3"/>
    <n v="786"/>
    <x v="4"/>
    <n v="0"/>
    <s v="Good"/>
    <n v="4"/>
    <n v="14970.05"/>
    <s v="High Income"/>
    <s v="Unemployed"/>
    <s v="Without Loan"/>
    <s v="Low-Risk"/>
  </r>
  <r>
    <s v="T000851"/>
    <s v="C3136"/>
    <s v="AC55938649"/>
    <x v="228"/>
    <x v="29"/>
    <x v="1"/>
    <x v="0"/>
    <n v="613.76"/>
    <x v="0"/>
    <n v="21580.2"/>
    <s v="Medium"/>
    <x v="1"/>
    <n v="21"/>
    <x v="4"/>
    <s v="Female"/>
    <s v="Checking"/>
    <x v="550"/>
    <s v="EUR"/>
    <x v="2"/>
    <n v="3.8600000000000002E-2"/>
    <n v="3.86"/>
    <s v="low"/>
    <n v="26681.654999999999"/>
    <n v="1029.911883"/>
    <n v="18"/>
    <n v="476"/>
    <x v="0"/>
    <n v="2"/>
    <s v="Good"/>
    <n v="1"/>
    <n v="11794.05"/>
    <s v="High Income"/>
    <s v="Self-employed"/>
    <s v="Without Loan"/>
    <s v="Low-Risk"/>
  </r>
  <r>
    <s v="T000852"/>
    <s v="C7943"/>
    <s v="AC51655138"/>
    <x v="453"/>
    <x v="16"/>
    <x v="2"/>
    <x v="3"/>
    <n v="1507.49"/>
    <x v="1"/>
    <n v="1474.66"/>
    <s v="Low"/>
    <x v="1"/>
    <n v="27"/>
    <x v="0"/>
    <s v="Female"/>
    <s v="Checking"/>
    <x v="551"/>
    <s v="EUR"/>
    <x v="0"/>
    <n v="1.2800000000000001E-2"/>
    <n v="1.28"/>
    <s v="low"/>
    <n v="26681.654999999999"/>
    <n v="341.52518400000002"/>
    <n v="13"/>
    <n v="556"/>
    <x v="0"/>
    <n v="1"/>
    <s v="Default"/>
    <n v="1"/>
    <n v="14620.28"/>
    <s v="High Income"/>
    <s v="Self-employed"/>
    <s v="Without Loan"/>
    <s v="Low-Risk"/>
  </r>
  <r>
    <s v="T000853"/>
    <s v="C8804"/>
    <s v="AC62374471"/>
    <x v="454"/>
    <x v="24"/>
    <x v="2"/>
    <x v="3"/>
    <n v="2212.59"/>
    <x v="0"/>
    <n v="43039.8"/>
    <s v="Medium"/>
    <x v="3"/>
    <n v="56"/>
    <x v="2"/>
    <s v="Female"/>
    <s v="Credit"/>
    <x v="159"/>
    <s v="USD"/>
    <x v="1"/>
    <n v="4.8899999999999999E-2"/>
    <n v="4.8899999999999997"/>
    <s v="high"/>
    <n v="46029.8"/>
    <n v="2250.8572199999999"/>
    <n v="6"/>
    <n v="833"/>
    <x v="1"/>
    <n v="0"/>
    <s v="Good"/>
    <n v="5"/>
    <n v="12232.31"/>
    <s v="High Income"/>
    <s v="Employed"/>
    <s v="With Loan"/>
    <s v="Low-Risk"/>
  </r>
  <r>
    <s v="T000854"/>
    <s v="C7565"/>
    <s v="AC61379821"/>
    <x v="455"/>
    <x v="14"/>
    <x v="4"/>
    <x v="3"/>
    <n v="6684.95"/>
    <x v="0"/>
    <n v="36826.71"/>
    <s v="Medium"/>
    <x v="4"/>
    <n v="41"/>
    <x v="1"/>
    <s v="Male"/>
    <s v="Checking"/>
    <x v="101"/>
    <s v="GBP"/>
    <x v="2"/>
    <n v="1.06E-2"/>
    <n v="1.06"/>
    <s v="low"/>
    <n v="47712.67"/>
    <n v="505.754302"/>
    <n v="7"/>
    <n v="776"/>
    <x v="4"/>
    <n v="2"/>
    <s v="Good"/>
    <n v="4"/>
    <n v="14521.63"/>
    <s v="High Income"/>
    <s v="Self-employed"/>
    <s v="With Loan"/>
    <s v="Low-Risk"/>
  </r>
  <r>
    <s v="T000855"/>
    <s v="C6984"/>
    <s v="AC85488205"/>
    <x v="456"/>
    <x v="26"/>
    <x v="3"/>
    <x v="3"/>
    <n v="1657.53"/>
    <x v="0"/>
    <n v="47391.05"/>
    <s v="Medium"/>
    <x v="3"/>
    <n v="34"/>
    <x v="0"/>
    <s v="Male"/>
    <s v="Credit"/>
    <x v="113"/>
    <s v="EUR"/>
    <x v="1"/>
    <n v="3.4099999999999998E-2"/>
    <n v="3.41"/>
    <s v="low"/>
    <n v="26681.654999999999"/>
    <n v="909.84443549999992"/>
    <n v="1"/>
    <n v="697"/>
    <x v="3"/>
    <n v="0"/>
    <s v="Good"/>
    <n v="3"/>
    <n v="11194.52"/>
    <s v="High Income"/>
    <s v="Unemployed"/>
    <s v="Without Loan"/>
    <s v="Low-Risk"/>
  </r>
  <r>
    <s v="T000856"/>
    <s v="C6142"/>
    <s v="AC50133569"/>
    <x v="457"/>
    <x v="1"/>
    <x v="1"/>
    <x v="1"/>
    <n v="1276.8599999999999"/>
    <x v="0"/>
    <n v="39299.160000000003"/>
    <s v="Medium"/>
    <x v="4"/>
    <n v="69"/>
    <x v="3"/>
    <s v="Male"/>
    <s v="Credit"/>
    <x v="195"/>
    <s v="GBP"/>
    <x v="1"/>
    <n v="3.2500000000000001E-2"/>
    <n v="3.25"/>
    <s v="low"/>
    <n v="26681.654999999999"/>
    <n v="867.15378750000002"/>
    <n v="6"/>
    <n v="795"/>
    <x v="4"/>
    <n v="0"/>
    <s v="Good"/>
    <n v="4"/>
    <n v="3036.92"/>
    <s v="Middle Income"/>
    <s v="Self-employed"/>
    <s v="Without Loan"/>
    <s v="Low-Risk"/>
  </r>
  <r>
    <s v="T000857"/>
    <s v="C5670"/>
    <s v="AC11912584"/>
    <x v="458"/>
    <x v="2"/>
    <x v="5"/>
    <x v="3"/>
    <n v="7670.72"/>
    <x v="1"/>
    <n v="16371.62"/>
    <s v="Medium"/>
    <x v="1"/>
    <n v="23"/>
    <x v="4"/>
    <s v="Male"/>
    <s v="Credit"/>
    <x v="552"/>
    <s v="GBP"/>
    <x v="0"/>
    <n v="1.54E-2"/>
    <n v="1.54"/>
    <s v="low"/>
    <n v="26681.654999999999"/>
    <n v="410.89748700000001"/>
    <n v="13"/>
    <n v="519"/>
    <x v="0"/>
    <n v="1"/>
    <s v="Default"/>
    <n v="1"/>
    <n v="7224.96"/>
    <s v="High Income"/>
    <s v="Employed"/>
    <s v="Without Loan"/>
    <s v="Low-Risk"/>
  </r>
  <r>
    <s v="T000858"/>
    <s v="C3190"/>
    <s v="AC30554754"/>
    <x v="347"/>
    <x v="5"/>
    <x v="7"/>
    <x v="0"/>
    <n v="6743.45"/>
    <x v="1"/>
    <n v="13145.79"/>
    <s v="Medium"/>
    <x v="1"/>
    <n v="36"/>
    <x v="1"/>
    <s v="Female"/>
    <s v="Credit"/>
    <x v="553"/>
    <s v="USD"/>
    <x v="1"/>
    <n v="1.6E-2"/>
    <n v="1.6E-2"/>
    <s v="low"/>
    <n v="26681.654999999999"/>
    <n v="426.90647999999999"/>
    <n v="13"/>
    <n v="472"/>
    <x v="0"/>
    <n v="0"/>
    <s v="Good"/>
    <n v="1"/>
    <n v="10405.76"/>
    <s v="High Income"/>
    <s v="Unemployed"/>
    <s v="Without Loan"/>
    <s v="Low-Risk"/>
  </r>
  <r>
    <s v="T000859"/>
    <s v="C3712"/>
    <s v="AC57732820"/>
    <x v="459"/>
    <x v="5"/>
    <x v="8"/>
    <x v="2"/>
    <n v="4409.71"/>
    <x v="0"/>
    <n v="35188.1"/>
    <s v="Medium"/>
    <x v="0"/>
    <n v="22"/>
    <x v="4"/>
    <s v="Female"/>
    <s v="Checking"/>
    <x v="403"/>
    <s v="USD"/>
    <x v="1"/>
    <n v="4.1700000000000001E-2"/>
    <n v="4.17"/>
    <s v="high"/>
    <n v="20753.21"/>
    <n v="865.40885700000001"/>
    <n v="22"/>
    <n v="689"/>
    <x v="3"/>
    <n v="0"/>
    <s v="Good"/>
    <n v="3"/>
    <n v="6559.34"/>
    <s v="High Income"/>
    <s v="Unemployed"/>
    <s v="With Loan"/>
    <s v="Low-Risk"/>
  </r>
  <r>
    <s v="T000860"/>
    <s v="C3192"/>
    <s v="AC94111129"/>
    <x v="349"/>
    <x v="27"/>
    <x v="8"/>
    <x v="1"/>
    <n v="5538.17"/>
    <x v="1"/>
    <n v="18841.53"/>
    <s v="Medium"/>
    <x v="4"/>
    <n v="49"/>
    <x v="2"/>
    <s v="Female"/>
    <s v="Savings"/>
    <x v="554"/>
    <s v="USD"/>
    <x v="0"/>
    <n v="4.5499999999999999E-2"/>
    <n v="4.55"/>
    <s v="high"/>
    <n v="26681.654999999999"/>
    <n v="1214.0153025"/>
    <n v="19"/>
    <n v="801"/>
    <x v="1"/>
    <n v="1"/>
    <s v="Default"/>
    <n v="5"/>
    <n v="5553.99"/>
    <s v="High Income"/>
    <s v="Self-employed"/>
    <s v="Without Loan"/>
    <s v="Low-Risk"/>
  </r>
  <r>
    <s v="T000861"/>
    <s v="C2248"/>
    <s v="AC70037447"/>
    <x v="381"/>
    <x v="27"/>
    <x v="11"/>
    <x v="3"/>
    <n v="3188.64"/>
    <x v="0"/>
    <n v="28744.54"/>
    <s v="Medium"/>
    <x v="1"/>
    <n v="27"/>
    <x v="0"/>
    <s v="Male"/>
    <s v="Savings"/>
    <x v="440"/>
    <s v="EUR"/>
    <x v="0"/>
    <n v="2.1299999999999999E-2"/>
    <n v="2.13"/>
    <s v="low"/>
    <n v="29611.23"/>
    <n v="630.719199"/>
    <n v="13"/>
    <n v="559"/>
    <x v="0"/>
    <n v="1"/>
    <s v="Default"/>
    <n v="1"/>
    <n v="9506.19"/>
    <s v="High Income"/>
    <s v="Unemployed"/>
    <s v="With Loan"/>
    <s v="Low-Risk"/>
  </r>
  <r>
    <s v="T000862"/>
    <s v="C5033"/>
    <s v="AC91955631"/>
    <x v="422"/>
    <x v="9"/>
    <x v="1"/>
    <x v="2"/>
    <n v="4876.75"/>
    <x v="1"/>
    <n v="1306.6199999999999"/>
    <s v="Low"/>
    <x v="2"/>
    <n v="26"/>
    <x v="0"/>
    <s v="Female"/>
    <s v="Savings"/>
    <x v="555"/>
    <s v="GBP"/>
    <x v="0"/>
    <n v="2.75E-2"/>
    <n v="2.75"/>
    <s v="low"/>
    <n v="26681.654999999999"/>
    <n v="733.74551250000002"/>
    <n v="13"/>
    <n v="430"/>
    <x v="0"/>
    <n v="1"/>
    <s v="Default"/>
    <n v="1"/>
    <n v="14135.52"/>
    <s v="High Income"/>
    <s v="Self-employed"/>
    <s v="Without Loan"/>
    <s v="Low-Risk"/>
  </r>
  <r>
    <s v="T000863"/>
    <s v="C2997"/>
    <s v="AC24677441"/>
    <x v="277"/>
    <x v="0"/>
    <x v="8"/>
    <x v="1"/>
    <n v="5116.0600000000004"/>
    <x v="1"/>
    <n v="4032.4"/>
    <s v="Low"/>
    <x v="0"/>
    <n v="44"/>
    <x v="1"/>
    <s v="Male"/>
    <s v="Checking"/>
    <x v="167"/>
    <s v="EUR"/>
    <x v="0"/>
    <n v="2.4199999999999999E-2"/>
    <n v="2.42"/>
    <s v="low"/>
    <n v="26681.654999999999"/>
    <n v="645.6960509999999"/>
    <n v="9"/>
    <n v="412"/>
    <x v="0"/>
    <n v="1"/>
    <s v="Default"/>
    <n v="1"/>
    <n v="2454.7600000000002"/>
    <s v="Low Income"/>
    <s v="Self-employed"/>
    <s v="Without Loan"/>
    <s v="Low-Risk"/>
  </r>
  <r>
    <s v="T000864"/>
    <s v="C4687"/>
    <s v="AC54804549"/>
    <x v="419"/>
    <x v="20"/>
    <x v="9"/>
    <x v="2"/>
    <n v="3933.65"/>
    <x v="0"/>
    <n v="27233.03"/>
    <s v="Medium"/>
    <x v="3"/>
    <n v="30"/>
    <x v="0"/>
    <s v="Female"/>
    <s v="Savings"/>
    <x v="556"/>
    <s v="EUR"/>
    <x v="2"/>
    <n v="1.29E-2"/>
    <n v="1.29"/>
    <s v="low"/>
    <n v="26681.654999999999"/>
    <n v="344.19334950000001"/>
    <n v="13"/>
    <n v="319"/>
    <x v="0"/>
    <n v="2"/>
    <s v="Good"/>
    <n v="1"/>
    <n v="12000.01"/>
    <s v="High Income"/>
    <s v="Employed"/>
    <s v="Without Loan"/>
    <s v="Low-Risk"/>
  </r>
  <r>
    <s v="T000865"/>
    <s v="C5018"/>
    <s v="AC44301851"/>
    <x v="460"/>
    <x v="7"/>
    <x v="3"/>
    <x v="3"/>
    <n v="9075.06"/>
    <x v="0"/>
    <n v="28737.51"/>
    <s v="Medium"/>
    <x v="0"/>
    <n v="36"/>
    <x v="1"/>
    <s v="Female"/>
    <s v="Checking"/>
    <x v="282"/>
    <s v="USD"/>
    <x v="2"/>
    <n v="3.6900000000000002E-2"/>
    <n v="3.69"/>
    <s v="low"/>
    <n v="46658.33"/>
    <n v="1721.6923770000001"/>
    <n v="13"/>
    <n v="514"/>
    <x v="0"/>
    <n v="2"/>
    <s v="Good"/>
    <n v="1"/>
    <n v="11395.45"/>
    <s v="High Income"/>
    <s v="Unemployed"/>
    <s v="With Loan"/>
    <s v="High-Risk"/>
  </r>
  <r>
    <s v="T000866"/>
    <s v="C2970"/>
    <s v="AC15438684"/>
    <x v="373"/>
    <x v="17"/>
    <x v="4"/>
    <x v="3"/>
    <n v="259.01"/>
    <x v="0"/>
    <n v="37821.19"/>
    <s v="Medium"/>
    <x v="2"/>
    <n v="38"/>
    <x v="1"/>
    <s v="Female"/>
    <s v="Checking"/>
    <x v="158"/>
    <s v="GBP"/>
    <x v="2"/>
    <n v="4.2999999999999997E-2"/>
    <n v="4.2999999999999997E-2"/>
    <s v="low"/>
    <n v="26681.654999999999"/>
    <n v="1147.3111649999998"/>
    <n v="12"/>
    <n v="609"/>
    <x v="2"/>
    <n v="2"/>
    <s v="Good"/>
    <n v="2"/>
    <n v="14531.39"/>
    <s v="High Income"/>
    <s v="Self-employed"/>
    <s v="Without Loan"/>
    <s v="Low-Risk"/>
  </r>
  <r>
    <s v="T000867"/>
    <s v="C9389"/>
    <s v="AC75147544"/>
    <x v="118"/>
    <x v="10"/>
    <x v="10"/>
    <x v="0"/>
    <n v="7843.5"/>
    <x v="1"/>
    <n v="7466.3"/>
    <s v="Low"/>
    <x v="4"/>
    <n v="41"/>
    <x v="1"/>
    <s v="Female"/>
    <s v="Checking"/>
    <x v="557"/>
    <s v="GBP"/>
    <x v="1"/>
    <n v="2.2200000000000001E-2"/>
    <n v="2.2200000000000002"/>
    <s v="low"/>
    <n v="23348.31"/>
    <n v="518.33248200000003"/>
    <n v="13"/>
    <n v="550"/>
    <x v="0"/>
    <n v="0"/>
    <s v="Good"/>
    <n v="1"/>
    <n v="14099.25"/>
    <s v="High Income"/>
    <s v="Self-employed"/>
    <s v="With Loan"/>
    <s v="Low-Risk"/>
  </r>
  <r>
    <s v="T000868"/>
    <s v="C6765"/>
    <s v="AC32315019"/>
    <x v="26"/>
    <x v="8"/>
    <x v="5"/>
    <x v="3"/>
    <n v="1331.39"/>
    <x v="0"/>
    <n v="26145.97"/>
    <s v="Medium"/>
    <x v="3"/>
    <n v="55"/>
    <x v="2"/>
    <s v="Female"/>
    <s v="Savings"/>
    <x v="56"/>
    <s v="USD"/>
    <x v="0"/>
    <n v="4.9599999999999998E-2"/>
    <n v="4.96"/>
    <s v="high"/>
    <n v="42396.63"/>
    <n v="2102.872848"/>
    <n v="13"/>
    <n v="787"/>
    <x v="4"/>
    <n v="1"/>
    <s v="Default"/>
    <n v="4"/>
    <n v="11909.02"/>
    <s v="High Income"/>
    <s v="Self-employed"/>
    <s v="With Loan"/>
    <s v="Low-Risk"/>
  </r>
  <r>
    <s v="T000869"/>
    <s v="C2202"/>
    <s v="AC85902244"/>
    <x v="3"/>
    <x v="3"/>
    <x v="1"/>
    <x v="3"/>
    <n v="7995.72"/>
    <x v="1"/>
    <n v="10527.93"/>
    <s v="Medium"/>
    <x v="3"/>
    <n v="21"/>
    <x v="4"/>
    <s v="Male"/>
    <s v="Savings"/>
    <x v="14"/>
    <s v="GBP"/>
    <x v="0"/>
    <n v="1.2999999999999999E-2"/>
    <n v="1.2999999999999999E-2"/>
    <s v="low"/>
    <n v="26681.654999999999"/>
    <n v="346.861515"/>
    <n v="13"/>
    <n v="681"/>
    <x v="3"/>
    <n v="1"/>
    <s v="Default"/>
    <n v="3"/>
    <n v="8765.31"/>
    <s v="High Income"/>
    <s v="Unemployed"/>
    <s v="Without Loan"/>
    <s v="Low-Risk"/>
  </r>
  <r>
    <s v="T000870"/>
    <s v="C9135"/>
    <s v="AC20104107"/>
    <x v="5"/>
    <x v="5"/>
    <x v="2"/>
    <x v="1"/>
    <n v="6197.53"/>
    <x v="1"/>
    <n v="5566.61"/>
    <s v="Low"/>
    <x v="4"/>
    <n v="41"/>
    <x v="1"/>
    <s v="Female"/>
    <s v="Savings"/>
    <x v="140"/>
    <s v="USD"/>
    <x v="2"/>
    <n v="3.6499999999999998E-2"/>
    <n v="3.65"/>
    <s v="low"/>
    <n v="22765.439999999999"/>
    <n v="830.93855999999994"/>
    <n v="13"/>
    <n v="708"/>
    <x v="3"/>
    <n v="2"/>
    <s v="Good"/>
    <n v="3"/>
    <n v="4655.4799999999996"/>
    <s v="Middle Income"/>
    <s v="Unemployed"/>
    <s v="With Loan"/>
    <s v="Low-Risk"/>
  </r>
  <r>
    <s v="T000871"/>
    <s v="C6567"/>
    <s v="AC44125539"/>
    <x v="101"/>
    <x v="30"/>
    <x v="7"/>
    <x v="0"/>
    <n v="8448.4500000000007"/>
    <x v="0"/>
    <n v="21114.29"/>
    <s v="Medium"/>
    <x v="0"/>
    <n v="52"/>
    <x v="2"/>
    <s v="Male"/>
    <s v="Credit"/>
    <x v="443"/>
    <s v="EUR"/>
    <x v="1"/>
    <n v="2.7900000000000001E-2"/>
    <n v="2.79"/>
    <s v="low"/>
    <n v="38487.69"/>
    <n v="1073.8065510000001"/>
    <n v="9"/>
    <n v="570"/>
    <x v="0"/>
    <n v="0"/>
    <s v="Good"/>
    <n v="1"/>
    <n v="9088.06"/>
    <s v="High Income"/>
    <s v="Unemployed"/>
    <s v="With Loan"/>
    <s v="High-Risk"/>
  </r>
  <r>
    <s v="T000872"/>
    <s v="C8667"/>
    <s v="AC70795662"/>
    <x v="51"/>
    <x v="10"/>
    <x v="3"/>
    <x v="1"/>
    <n v="1065.3900000000001"/>
    <x v="1"/>
    <n v="9003.5"/>
    <s v="Low"/>
    <x v="1"/>
    <n v="20"/>
    <x v="4"/>
    <s v="Male"/>
    <s v="Checking"/>
    <x v="558"/>
    <s v="EUR"/>
    <x v="1"/>
    <n v="2.7900000000000001E-2"/>
    <n v="2.79"/>
    <s v="low"/>
    <n v="45367.13"/>
    <n v="1265.742927"/>
    <n v="13"/>
    <n v="706"/>
    <x v="3"/>
    <n v="0"/>
    <s v="Good"/>
    <n v="3"/>
    <n v="11949.58"/>
    <s v="High Income"/>
    <s v="Self-employed"/>
    <s v="With Loan"/>
    <s v="Low-Risk"/>
  </r>
  <r>
    <s v="T000873"/>
    <s v="C6742"/>
    <s v="AC93173418"/>
    <x v="370"/>
    <x v="1"/>
    <x v="9"/>
    <x v="2"/>
    <n v="5633.91"/>
    <x v="1"/>
    <n v="11867.32"/>
    <s v="Medium"/>
    <x v="0"/>
    <n v="21"/>
    <x v="4"/>
    <s v="Male"/>
    <s v="Credit"/>
    <x v="559"/>
    <s v="USD"/>
    <x v="1"/>
    <n v="2.8299999999999999E-2"/>
    <n v="2.83"/>
    <s v="low"/>
    <n v="26681.654999999999"/>
    <n v="755.09083649999991"/>
    <n v="13"/>
    <n v="493"/>
    <x v="0"/>
    <n v="0"/>
    <s v="Good"/>
    <n v="1"/>
    <n v="13643.7"/>
    <s v="High Income"/>
    <s v="Unemployed"/>
    <s v="Without Loan"/>
    <s v="Low-Risk"/>
  </r>
  <r>
    <s v="T000874"/>
    <s v="C6788"/>
    <s v="AC73923119"/>
    <x v="346"/>
    <x v="23"/>
    <x v="6"/>
    <x v="3"/>
    <n v="5060.7700000000004"/>
    <x v="1"/>
    <n v="16560.169999999998"/>
    <s v="Medium"/>
    <x v="2"/>
    <n v="54"/>
    <x v="2"/>
    <s v="Male"/>
    <s v="Checking"/>
    <x v="560"/>
    <s v="EUR"/>
    <x v="2"/>
    <n v="2.0299999999999999E-2"/>
    <n v="2.0299999999999998"/>
    <s v="low"/>
    <n v="22048.23"/>
    <n v="447.57906899999995"/>
    <n v="22"/>
    <n v="740"/>
    <x v="4"/>
    <n v="2"/>
    <s v="Good"/>
    <n v="4"/>
    <n v="12266.26"/>
    <s v="High Income"/>
    <s v="Self-employed"/>
    <s v="With Loan"/>
    <s v="Low-Risk"/>
  </r>
  <r>
    <s v="T000875"/>
    <s v="C6408"/>
    <s v="AC88014806"/>
    <x v="461"/>
    <x v="23"/>
    <x v="2"/>
    <x v="2"/>
    <n v="7091.31"/>
    <x v="1"/>
    <n v="13710.03"/>
    <s v="Medium"/>
    <x v="1"/>
    <n v="57"/>
    <x v="2"/>
    <s v="Male"/>
    <s v="Savings"/>
    <x v="561"/>
    <s v="EUR"/>
    <x v="1"/>
    <n v="3.8600000000000002E-2"/>
    <n v="3.86"/>
    <s v="low"/>
    <n v="12810.23"/>
    <n v="494.47487799999999"/>
    <n v="13"/>
    <n v="612"/>
    <x v="2"/>
    <n v="0"/>
    <s v="Good"/>
    <n v="2"/>
    <n v="4538.47"/>
    <s v="Middle Income"/>
    <s v="Unemployed"/>
    <s v="With Loan"/>
    <s v="Low-Risk"/>
  </r>
  <r>
    <s v="T000876"/>
    <s v="C9669"/>
    <s v="AC12086213"/>
    <x v="437"/>
    <x v="6"/>
    <x v="8"/>
    <x v="1"/>
    <n v="5389.48"/>
    <x v="1"/>
    <n v="5291.97"/>
    <s v="Low"/>
    <x v="0"/>
    <n v="65"/>
    <x v="3"/>
    <s v="Male"/>
    <s v="Checking"/>
    <x v="562"/>
    <s v="USD"/>
    <x v="1"/>
    <n v="3.8899999999999997E-2"/>
    <n v="3.89"/>
    <s v="low"/>
    <n v="26681.654999999999"/>
    <n v="1037.9163794999999"/>
    <n v="17"/>
    <n v="378"/>
    <x v="0"/>
    <n v="0"/>
    <s v="Good"/>
    <n v="1"/>
    <n v="9795.92"/>
    <s v="High Income"/>
    <s v="Unemployed"/>
    <s v="Without Loan"/>
    <s v="Low-Risk"/>
  </r>
  <r>
    <s v="T000877"/>
    <s v="C1922"/>
    <s v="AC87411194"/>
    <x v="414"/>
    <x v="3"/>
    <x v="8"/>
    <x v="3"/>
    <n v="5453.27"/>
    <x v="1"/>
    <n v="5405.9"/>
    <s v="Low"/>
    <x v="4"/>
    <n v="52"/>
    <x v="2"/>
    <s v="Male"/>
    <s v="Checking"/>
    <x v="113"/>
    <s v="EUR"/>
    <x v="1"/>
    <n v="2.1299999999999999E-2"/>
    <n v="2.13"/>
    <s v="low"/>
    <n v="26681.654999999999"/>
    <n v="568.31925149999995"/>
    <n v="7"/>
    <n v="479"/>
    <x v="0"/>
    <n v="0"/>
    <s v="Good"/>
    <n v="1"/>
    <n v="6318.25"/>
    <s v="High Income"/>
    <s v="Self-employed"/>
    <s v="Without Loan"/>
    <s v="Low-Risk"/>
  </r>
  <r>
    <s v="T000878"/>
    <s v="C1419"/>
    <s v="AC88308332"/>
    <x v="351"/>
    <x v="8"/>
    <x v="4"/>
    <x v="3"/>
    <n v="4353"/>
    <x v="1"/>
    <n v="10469.219999999999"/>
    <s v="Medium"/>
    <x v="2"/>
    <n v="48"/>
    <x v="2"/>
    <s v="Male"/>
    <s v="Credit"/>
    <x v="563"/>
    <s v="GBP"/>
    <x v="0"/>
    <n v="4.3400000000000001E-2"/>
    <n v="4.34"/>
    <s v="high"/>
    <n v="37475.980000000003"/>
    <n v="1626.4575320000001"/>
    <n v="13"/>
    <n v="313"/>
    <x v="0"/>
    <n v="1"/>
    <s v="Default"/>
    <n v="1"/>
    <n v="2119.67"/>
    <s v="Low Income"/>
    <s v="Unemployed"/>
    <s v="With Loan"/>
    <s v="High-Risk"/>
  </r>
  <r>
    <s v="T000879"/>
    <s v="C3204"/>
    <s v="AC52491924"/>
    <x v="332"/>
    <x v="3"/>
    <x v="8"/>
    <x v="1"/>
    <n v="3157.46"/>
    <x v="1"/>
    <n v="3477.4"/>
    <s v="Low"/>
    <x v="2"/>
    <n v="61"/>
    <x v="3"/>
    <s v="Female"/>
    <s v="Checking"/>
    <x v="294"/>
    <s v="EUR"/>
    <x v="2"/>
    <n v="2.2700000000000001E-2"/>
    <n v="2.27"/>
    <s v="low"/>
    <n v="11322.38"/>
    <n v="257.01802600000002"/>
    <n v="13"/>
    <n v="545"/>
    <x v="0"/>
    <n v="2"/>
    <s v="Good"/>
    <n v="1"/>
    <n v="4602.87"/>
    <s v="Middle Income"/>
    <s v="Self-employed"/>
    <s v="With Loan"/>
    <s v="Low-Risk"/>
  </r>
  <r>
    <s v="T000880"/>
    <s v="C2120"/>
    <s v="AC45553686"/>
    <x v="380"/>
    <x v="0"/>
    <x v="6"/>
    <x v="1"/>
    <n v="4874.42"/>
    <x v="0"/>
    <n v="31696.39"/>
    <s v="Medium"/>
    <x v="2"/>
    <n v="42"/>
    <x v="1"/>
    <s v="Female"/>
    <s v="Savings"/>
    <x v="95"/>
    <s v="USD"/>
    <x v="0"/>
    <n v="3.9E-2"/>
    <n v="3.9E-2"/>
    <s v="low"/>
    <n v="22522.41"/>
    <n v="878.37399000000005"/>
    <n v="13"/>
    <n v="313"/>
    <x v="0"/>
    <n v="1"/>
    <s v="Default"/>
    <n v="1"/>
    <n v="3471.87"/>
    <s v="Middle Income"/>
    <s v="Unemployed"/>
    <s v="With Loan"/>
    <s v="Low-Risk"/>
  </r>
  <r>
    <s v="T000881"/>
    <s v="C1950"/>
    <s v="AC42482294"/>
    <x v="462"/>
    <x v="4"/>
    <x v="1"/>
    <x v="1"/>
    <n v="1273.07"/>
    <x v="1"/>
    <n v="15079.01"/>
    <s v="Medium"/>
    <x v="1"/>
    <n v="57"/>
    <x v="2"/>
    <s v="Male"/>
    <s v="Checking"/>
    <x v="365"/>
    <s v="GBP"/>
    <x v="0"/>
    <n v="1.4800000000000001E-2"/>
    <n v="1.48"/>
    <s v="low"/>
    <n v="23520.01"/>
    <n v="348.09614799999997"/>
    <n v="13"/>
    <n v="398"/>
    <x v="0"/>
    <n v="1"/>
    <s v="Default"/>
    <n v="1"/>
    <n v="12955.35"/>
    <s v="High Income"/>
    <s v="Unemployed"/>
    <s v="With Loan"/>
    <s v="Low-Risk"/>
  </r>
  <r>
    <s v="T000882"/>
    <s v="C3336"/>
    <s v="AC47710964"/>
    <x v="360"/>
    <x v="5"/>
    <x v="10"/>
    <x v="1"/>
    <n v="9618.98"/>
    <x v="1"/>
    <n v="14707.55"/>
    <s v="Medium"/>
    <x v="3"/>
    <n v="30"/>
    <x v="0"/>
    <s v="Male"/>
    <s v="Checking"/>
    <x v="108"/>
    <s v="GBP"/>
    <x v="2"/>
    <n v="1.67E-2"/>
    <n v="1.67"/>
    <s v="low"/>
    <n v="26681.654999999999"/>
    <n v="445.58363849999995"/>
    <n v="13"/>
    <n v="332"/>
    <x v="0"/>
    <n v="2"/>
    <s v="Good"/>
    <n v="1"/>
    <n v="5360.58"/>
    <s v="High Income"/>
    <s v="Unemployed"/>
    <s v="Without Loan"/>
    <s v="Low-Risk"/>
  </r>
  <r>
    <s v="T000883"/>
    <s v="C6373"/>
    <s v="AC83701774"/>
    <x v="133"/>
    <x v="2"/>
    <x v="2"/>
    <x v="1"/>
    <n v="7172.67"/>
    <x v="1"/>
    <n v="17267.919999999998"/>
    <s v="Medium"/>
    <x v="1"/>
    <n v="21"/>
    <x v="4"/>
    <s v="Male"/>
    <s v="Checking"/>
    <x v="266"/>
    <s v="EUR"/>
    <x v="0"/>
    <n v="2.2599999999999999E-2"/>
    <n v="2.2599999999999998"/>
    <s v="low"/>
    <n v="26681.654999999999"/>
    <n v="603.00540299999989"/>
    <n v="3"/>
    <n v="735"/>
    <x v="3"/>
    <n v="1"/>
    <s v="Default"/>
    <n v="3"/>
    <n v="5701.07"/>
    <s v="High Income"/>
    <s v="Unemployed"/>
    <s v="Without Loan"/>
    <s v="Low-Risk"/>
  </r>
  <r>
    <s v="T000884"/>
    <s v="C3243"/>
    <s v="AC99268938"/>
    <x v="463"/>
    <x v="4"/>
    <x v="3"/>
    <x v="3"/>
    <n v="9529.42"/>
    <x v="0"/>
    <n v="33477.019999999997"/>
    <s v="Medium"/>
    <x v="0"/>
    <n v="63"/>
    <x v="3"/>
    <s v="Female"/>
    <s v="Credit"/>
    <x v="198"/>
    <s v="GBP"/>
    <x v="1"/>
    <n v="3.3799999999999997E-2"/>
    <n v="3.38"/>
    <s v="low"/>
    <n v="5120.07"/>
    <n v="173.05836599999998"/>
    <n v="13"/>
    <n v="556"/>
    <x v="0"/>
    <n v="0"/>
    <s v="Good"/>
    <n v="1"/>
    <n v="14479.18"/>
    <s v="High Income"/>
    <s v="Employed"/>
    <s v="With Loan"/>
    <s v="Low-Risk"/>
  </r>
  <r>
    <s v="T000885"/>
    <s v="C3645"/>
    <s v="AC31794866"/>
    <x v="464"/>
    <x v="11"/>
    <x v="8"/>
    <x v="1"/>
    <n v="2344.6"/>
    <x v="0"/>
    <n v="43661.06"/>
    <s v="Medium"/>
    <x v="3"/>
    <n v="31"/>
    <x v="0"/>
    <s v="Female"/>
    <s v="Checking"/>
    <x v="564"/>
    <s v="USD"/>
    <x v="1"/>
    <n v="3.5799999999999998E-2"/>
    <n v="3.58"/>
    <s v="low"/>
    <n v="26681.654999999999"/>
    <n v="955.20324899999991"/>
    <n v="28"/>
    <n v="333"/>
    <x v="0"/>
    <n v="0"/>
    <s v="Good"/>
    <n v="1"/>
    <n v="6928.13"/>
    <s v="High Income"/>
    <s v="Self-employed"/>
    <s v="Without Loan"/>
    <s v="Low-Risk"/>
  </r>
  <r>
    <s v="T000886"/>
    <s v="C5612"/>
    <s v="AC51464131"/>
    <x v="191"/>
    <x v="1"/>
    <x v="9"/>
    <x v="3"/>
    <n v="8805.48"/>
    <x v="0"/>
    <n v="38195.26"/>
    <s v="Medium"/>
    <x v="0"/>
    <n v="30"/>
    <x v="0"/>
    <s v="Male"/>
    <s v="Checking"/>
    <x v="84"/>
    <s v="GBP"/>
    <x v="1"/>
    <n v="2.5899999999999999E-2"/>
    <n v="2.59"/>
    <s v="low"/>
    <n v="44772.32"/>
    <n v="1159.6030880000001"/>
    <n v="13"/>
    <n v="318"/>
    <x v="0"/>
    <n v="0"/>
    <s v="Good"/>
    <n v="1"/>
    <n v="2124.61"/>
    <s v="Low Income"/>
    <s v="Employed"/>
    <s v="With Loan"/>
    <s v="High-Risk"/>
  </r>
  <r>
    <s v="T000887"/>
    <s v="C2865"/>
    <s v="AC54810380"/>
    <x v="423"/>
    <x v="12"/>
    <x v="9"/>
    <x v="3"/>
    <n v="8107.02"/>
    <x v="0"/>
    <n v="36648.93"/>
    <s v="Medium"/>
    <x v="3"/>
    <n v="44"/>
    <x v="1"/>
    <s v="Male"/>
    <s v="Credit"/>
    <x v="221"/>
    <s v="EUR"/>
    <x v="1"/>
    <n v="1.3100000000000001E-2"/>
    <n v="1.31"/>
    <s v="low"/>
    <n v="26681.654999999999"/>
    <n v="349.52968049999998"/>
    <n v="1"/>
    <n v="559"/>
    <x v="0"/>
    <n v="0"/>
    <s v="Good"/>
    <n v="1"/>
    <n v="5690"/>
    <s v="High Income"/>
    <s v="Unemployed"/>
    <s v="Without Loan"/>
    <s v="Low-Risk"/>
  </r>
  <r>
    <s v="T000888"/>
    <s v="C7028"/>
    <s v="AC43812949"/>
    <x v="258"/>
    <x v="12"/>
    <x v="6"/>
    <x v="1"/>
    <n v="6803.81"/>
    <x v="0"/>
    <n v="24735.17"/>
    <s v="Medium"/>
    <x v="1"/>
    <n v="23"/>
    <x v="4"/>
    <s v="Female"/>
    <s v="Credit"/>
    <x v="488"/>
    <s v="EUR"/>
    <x v="2"/>
    <n v="2.4899999999999999E-2"/>
    <n v="2.4900000000000002"/>
    <s v="low"/>
    <n v="26681.654999999999"/>
    <n v="664.37320949999992"/>
    <n v="13"/>
    <n v="715"/>
    <x v="3"/>
    <n v="2"/>
    <s v="Good"/>
    <n v="3"/>
    <n v="3550.89"/>
    <s v="Middle Income"/>
    <s v="Unemployed"/>
    <s v="Without Loan"/>
    <s v="Low-Risk"/>
  </r>
  <r>
    <s v="T000889"/>
    <s v="C8326"/>
    <s v="AC40315282"/>
    <x v="198"/>
    <x v="2"/>
    <x v="6"/>
    <x v="1"/>
    <n v="6287.79"/>
    <x v="0"/>
    <n v="34996.47"/>
    <s v="Medium"/>
    <x v="2"/>
    <n v="34"/>
    <x v="0"/>
    <s v="Female"/>
    <s v="Credit"/>
    <x v="319"/>
    <s v="GBP"/>
    <x v="0"/>
    <n v="3.7600000000000001E-2"/>
    <n v="3.76"/>
    <s v="low"/>
    <n v="16376.4"/>
    <n v="615.75264000000004"/>
    <n v="13"/>
    <n v="436"/>
    <x v="0"/>
    <n v="1"/>
    <s v="Default"/>
    <n v="1"/>
    <n v="3336.51"/>
    <s v="Middle Income"/>
    <s v="Self-employed"/>
    <s v="With Loan"/>
    <s v="Low-Risk"/>
  </r>
  <r>
    <s v="T000890"/>
    <s v="C7371"/>
    <s v="AC42945953"/>
    <x v="436"/>
    <x v="27"/>
    <x v="8"/>
    <x v="0"/>
    <n v="3233.84"/>
    <x v="0"/>
    <n v="28085.360000000001"/>
    <s v="Medium"/>
    <x v="4"/>
    <n v="53"/>
    <x v="2"/>
    <s v="Male"/>
    <s v="Credit"/>
    <x v="347"/>
    <s v="USD"/>
    <x v="0"/>
    <n v="3.6799999999999999E-2"/>
    <n v="3.68"/>
    <s v="low"/>
    <n v="39144.81"/>
    <n v="1440.529008"/>
    <n v="13"/>
    <n v="658"/>
    <x v="2"/>
    <n v="1"/>
    <s v="Default"/>
    <n v="2"/>
    <n v="3007.33"/>
    <s v="Middle Income"/>
    <s v="Self-employed"/>
    <s v="With Loan"/>
    <s v="Low-Risk"/>
  </r>
  <r>
    <s v="T000891"/>
    <s v="C7359"/>
    <s v="AC53300173"/>
    <x v="379"/>
    <x v="11"/>
    <x v="2"/>
    <x v="3"/>
    <n v="8182.47"/>
    <x v="1"/>
    <n v="11596.28"/>
    <s v="Medium"/>
    <x v="2"/>
    <n v="57"/>
    <x v="2"/>
    <s v="Male"/>
    <s v="Savings"/>
    <x v="442"/>
    <s v="USD"/>
    <x v="1"/>
    <n v="1.6400000000000001E-2"/>
    <n v="1.64"/>
    <s v="low"/>
    <n v="30250.39"/>
    <n v="496.10639600000002"/>
    <n v="13"/>
    <n v="415"/>
    <x v="0"/>
    <n v="0"/>
    <s v="Good"/>
    <n v="1"/>
    <n v="9712.3700000000008"/>
    <s v="High Income"/>
    <s v="Self-employed"/>
    <s v="With Loan"/>
    <s v="Low-Risk"/>
  </r>
  <r>
    <s v="T000892"/>
    <s v="C8863"/>
    <s v="AC83537404"/>
    <x v="465"/>
    <x v="20"/>
    <x v="2"/>
    <x v="1"/>
    <n v="5065"/>
    <x v="1"/>
    <n v="11220.83"/>
    <s v="Medium"/>
    <x v="1"/>
    <n v="66"/>
    <x v="3"/>
    <s v="Male"/>
    <s v="Savings"/>
    <x v="99"/>
    <s v="EUR"/>
    <x v="1"/>
    <n v="1.03E-2"/>
    <n v="1.03"/>
    <s v="low"/>
    <n v="18510.150000000001"/>
    <n v="190.65454500000001"/>
    <n v="13"/>
    <n v="703"/>
    <x v="3"/>
    <n v="0"/>
    <s v="Good"/>
    <n v="3"/>
    <n v="4461.5200000000004"/>
    <s v="Middle Income"/>
    <s v="Self-employed"/>
    <s v="With Loan"/>
    <s v="Low-Risk"/>
  </r>
  <r>
    <s v="T000893"/>
    <s v="C4228"/>
    <s v="AC39105135"/>
    <x v="91"/>
    <x v="1"/>
    <x v="5"/>
    <x v="1"/>
    <n v="801.83"/>
    <x v="1"/>
    <n v="15523.21"/>
    <s v="Medium"/>
    <x v="3"/>
    <n v="52"/>
    <x v="2"/>
    <s v="Male"/>
    <s v="Checking"/>
    <x v="564"/>
    <s v="EUR"/>
    <x v="0"/>
    <n v="4.0099999999999997E-2"/>
    <n v="4.01"/>
    <s v="high"/>
    <n v="26681.654999999999"/>
    <n v="1069.9343654999998"/>
    <n v="13"/>
    <n v="501"/>
    <x v="0"/>
    <n v="1"/>
    <s v="Default"/>
    <n v="1"/>
    <n v="6696.16"/>
    <s v="High Income"/>
    <s v="Unemployed"/>
    <s v="Without Loan"/>
    <s v="Low-Risk"/>
  </r>
  <r>
    <s v="T000894"/>
    <s v="C4719"/>
    <s v="AC25560243"/>
    <x v="289"/>
    <x v="17"/>
    <x v="1"/>
    <x v="1"/>
    <n v="3197.35"/>
    <x v="0"/>
    <n v="45629.33"/>
    <s v="Medium"/>
    <x v="2"/>
    <n v="34"/>
    <x v="0"/>
    <s v="Female"/>
    <s v="Savings"/>
    <x v="45"/>
    <s v="USD"/>
    <x v="2"/>
    <n v="1.43E-2"/>
    <n v="1.43"/>
    <s v="low"/>
    <n v="26681.654999999999"/>
    <n v="381.54766649999999"/>
    <n v="13"/>
    <n v="675"/>
    <x v="3"/>
    <n v="2"/>
    <s v="Good"/>
    <n v="3"/>
    <n v="13206.23"/>
    <s v="High Income"/>
    <s v="Self-employed"/>
    <s v="Without Loan"/>
    <s v="Low-Risk"/>
  </r>
  <r>
    <s v="T000895"/>
    <s v="C3371"/>
    <s v="AC69468269"/>
    <x v="433"/>
    <x v="30"/>
    <x v="6"/>
    <x v="0"/>
    <n v="9359.44"/>
    <x v="0"/>
    <n v="27823.33"/>
    <s v="Medium"/>
    <x v="1"/>
    <n v="58"/>
    <x v="2"/>
    <s v="Female"/>
    <s v="Checking"/>
    <x v="565"/>
    <s v="GBP"/>
    <x v="0"/>
    <n v="1.3299999999999999E-2"/>
    <n v="1.33"/>
    <s v="low"/>
    <n v="45774.39"/>
    <n v="608.79938699999991"/>
    <n v="13"/>
    <n v="549"/>
    <x v="0"/>
    <n v="1"/>
    <s v="Default"/>
    <n v="1"/>
    <n v="7516.4"/>
    <s v="High Income"/>
    <s v="Employed"/>
    <s v="With Loan"/>
    <s v="High-Risk"/>
  </r>
  <r>
    <s v="T000896"/>
    <s v="C3891"/>
    <s v="AC14338843"/>
    <x v="205"/>
    <x v="21"/>
    <x v="0"/>
    <x v="0"/>
    <n v="8521.73"/>
    <x v="0"/>
    <n v="36961.360000000001"/>
    <s v="Medium"/>
    <x v="0"/>
    <n v="19"/>
    <x v="4"/>
    <s v="Male"/>
    <s v="Savings"/>
    <x v="87"/>
    <s v="GBP"/>
    <x v="1"/>
    <n v="1.01E-2"/>
    <n v="1.01"/>
    <s v="low"/>
    <n v="26681.654999999999"/>
    <n v="269.48471549999999"/>
    <n v="13"/>
    <n v="745"/>
    <x v="4"/>
    <n v="0"/>
    <s v="Good"/>
    <n v="4"/>
    <n v="13903.99"/>
    <s v="High Income"/>
    <s v="Self-employed"/>
    <s v="Without Loan"/>
    <s v="Low-Risk"/>
  </r>
  <r>
    <s v="T000897"/>
    <s v="C4756"/>
    <s v="AC43978658"/>
    <x v="83"/>
    <x v="14"/>
    <x v="11"/>
    <x v="2"/>
    <n v="9820.8700000000008"/>
    <x v="1"/>
    <n v="17981.38"/>
    <s v="Medium"/>
    <x v="4"/>
    <n v="30"/>
    <x v="0"/>
    <s v="Male"/>
    <s v="Credit"/>
    <x v="147"/>
    <s v="GBP"/>
    <x v="1"/>
    <n v="2.7300000000000001E-2"/>
    <n v="2.73"/>
    <s v="low"/>
    <n v="26681.654999999999"/>
    <n v="728.40918150000005"/>
    <n v="19"/>
    <n v="577"/>
    <x v="0"/>
    <n v="0"/>
    <s v="Good"/>
    <n v="1"/>
    <n v="8473.19"/>
    <s v="High Income"/>
    <s v="Self-employed"/>
    <s v="Without Loan"/>
    <s v="Low-Risk"/>
  </r>
  <r>
    <s v="T000898"/>
    <s v="C5225"/>
    <s v="AC89165063"/>
    <x v="466"/>
    <x v="27"/>
    <x v="0"/>
    <x v="3"/>
    <n v="6317.13"/>
    <x v="0"/>
    <n v="20978.07"/>
    <s v="Medium"/>
    <x v="2"/>
    <n v="69"/>
    <x v="3"/>
    <s v="Male"/>
    <s v="Credit"/>
    <x v="364"/>
    <s v="GBP"/>
    <x v="2"/>
    <n v="3.0099999999999998E-2"/>
    <n v="3.01"/>
    <s v="low"/>
    <n v="16417.810000000001"/>
    <n v="494.17608100000001"/>
    <n v="13"/>
    <n v="411"/>
    <x v="0"/>
    <n v="2"/>
    <s v="Good"/>
    <n v="1"/>
    <n v="7184.88"/>
    <s v="High Income"/>
    <s v="Employed"/>
    <s v="With Loan"/>
    <s v="Low-Risk"/>
  </r>
  <r>
    <s v="T000899"/>
    <s v="C1094"/>
    <s v="AC81226787"/>
    <x v="461"/>
    <x v="23"/>
    <x v="2"/>
    <x v="2"/>
    <n v="2550.35"/>
    <x v="1"/>
    <n v="7152.71"/>
    <s v="Low"/>
    <x v="3"/>
    <n v="19"/>
    <x v="4"/>
    <s v="Female"/>
    <s v="Savings"/>
    <x v="33"/>
    <s v="USD"/>
    <x v="0"/>
    <n v="3.5499999999999997E-2"/>
    <n v="3.55"/>
    <s v="low"/>
    <n v="41061.75"/>
    <n v="1457.6921249999998"/>
    <n v="10"/>
    <n v="772"/>
    <x v="4"/>
    <n v="1"/>
    <s v="Default"/>
    <n v="4"/>
    <n v="11755.06"/>
    <s v="High Income"/>
    <s v="Employed"/>
    <s v="With Loan"/>
    <s v="Low-Risk"/>
  </r>
  <r>
    <s v="T000900"/>
    <s v="C3674"/>
    <s v="AC44253388"/>
    <x v="250"/>
    <x v="17"/>
    <x v="9"/>
    <x v="1"/>
    <n v="1711.87"/>
    <x v="1"/>
    <n v="9393.4500000000007"/>
    <s v="Low"/>
    <x v="0"/>
    <n v="69"/>
    <x v="3"/>
    <s v="Male"/>
    <s v="Savings"/>
    <x v="98"/>
    <s v="EUR"/>
    <x v="2"/>
    <n v="2.18E-2"/>
    <n v="2.1800000000000002"/>
    <s v="low"/>
    <n v="26681.654999999999"/>
    <n v="581.660079"/>
    <n v="13"/>
    <n v="691"/>
    <x v="3"/>
    <n v="2"/>
    <s v="Good"/>
    <n v="3"/>
    <n v="2951.28"/>
    <s v="Low Income"/>
    <s v="Employed"/>
    <s v="Without Loan"/>
    <s v="Low-Risk"/>
  </r>
  <r>
    <s v="T000901"/>
    <s v="C7898"/>
    <s v="AC41349379"/>
    <x v="260"/>
    <x v="24"/>
    <x v="0"/>
    <x v="0"/>
    <n v="1950.45"/>
    <x v="0"/>
    <n v="41540.47"/>
    <s v="Medium"/>
    <x v="1"/>
    <n v="45"/>
    <x v="1"/>
    <s v="Male"/>
    <s v="Checking"/>
    <x v="566"/>
    <s v="EUR"/>
    <x v="2"/>
    <n v="3.8399999999999997E-2"/>
    <n v="3.84"/>
    <s v="low"/>
    <n v="36003.01"/>
    <n v="1382.515584"/>
    <n v="3"/>
    <n v="442"/>
    <x v="0"/>
    <n v="2"/>
    <s v="Good"/>
    <n v="1"/>
    <n v="3163.22"/>
    <s v="Middle Income"/>
    <s v="Employed"/>
    <s v="With Loan"/>
    <s v="High-Risk"/>
  </r>
  <r>
    <s v="T000902"/>
    <s v="C1793"/>
    <s v="AC55844569"/>
    <x v="467"/>
    <x v="20"/>
    <x v="9"/>
    <x v="0"/>
    <n v="295.98"/>
    <x v="0"/>
    <n v="29657.09"/>
    <s v="Medium"/>
    <x v="4"/>
    <n v="60"/>
    <x v="2"/>
    <s v="Male"/>
    <s v="Checking"/>
    <x v="567"/>
    <s v="GBP"/>
    <x v="1"/>
    <n v="1.6799999999999999E-2"/>
    <n v="1.68"/>
    <s v="low"/>
    <n v="12872.57"/>
    <n v="216.25917599999997"/>
    <n v="13"/>
    <n v="331"/>
    <x v="0"/>
    <n v="0"/>
    <s v="Good"/>
    <n v="1"/>
    <n v="10475.66"/>
    <s v="High Income"/>
    <s v="Self-employed"/>
    <s v="With Loan"/>
    <s v="Low-Risk"/>
  </r>
  <r>
    <s v="T000903"/>
    <s v="C3116"/>
    <s v="AC77284075"/>
    <x v="392"/>
    <x v="26"/>
    <x v="0"/>
    <x v="2"/>
    <n v="3967.75"/>
    <x v="1"/>
    <n v="17539.09"/>
    <s v="Medium"/>
    <x v="3"/>
    <n v="43"/>
    <x v="1"/>
    <s v="Female"/>
    <s v="Checking"/>
    <x v="138"/>
    <s v="USD"/>
    <x v="0"/>
    <n v="4.3299999999999998E-2"/>
    <n v="4.33"/>
    <s v="high"/>
    <n v="26681.654999999999"/>
    <n v="1155.3156614999998"/>
    <n v="13"/>
    <n v="480"/>
    <x v="0"/>
    <n v="1"/>
    <s v="Default"/>
    <n v="1"/>
    <n v="8330.23"/>
    <s v="High Income"/>
    <s v="Employed"/>
    <s v="Without Loan"/>
    <s v="Low-Risk"/>
  </r>
  <r>
    <s v="T000904"/>
    <s v="C6779"/>
    <s v="AC89590438"/>
    <x v="136"/>
    <x v="1"/>
    <x v="4"/>
    <x v="0"/>
    <n v="1995.13"/>
    <x v="0"/>
    <n v="40339.71"/>
    <s v="Medium"/>
    <x v="1"/>
    <n v="39"/>
    <x v="1"/>
    <s v="Male"/>
    <s v="Credit"/>
    <x v="568"/>
    <s v="USD"/>
    <x v="1"/>
    <n v="3.2899999999999999E-2"/>
    <n v="3.29"/>
    <s v="low"/>
    <n v="26681.654999999999"/>
    <n v="877.82644949999997"/>
    <n v="19"/>
    <n v="815"/>
    <x v="1"/>
    <n v="0"/>
    <s v="Good"/>
    <n v="5"/>
    <n v="12275.4"/>
    <s v="High Income"/>
    <s v="Unemployed"/>
    <s v="Without Loan"/>
    <s v="Low-Risk"/>
  </r>
  <r>
    <s v="T000905"/>
    <s v="C7166"/>
    <s v="AC70251070"/>
    <x v="420"/>
    <x v="27"/>
    <x v="2"/>
    <x v="1"/>
    <n v="4175.3900000000003"/>
    <x v="1"/>
    <n v="13079.48"/>
    <s v="Medium"/>
    <x v="1"/>
    <n v="64"/>
    <x v="3"/>
    <s v="Female"/>
    <s v="Credit"/>
    <x v="250"/>
    <s v="GBP"/>
    <x v="0"/>
    <n v="3.3399999999999999E-2"/>
    <n v="3.34"/>
    <s v="low"/>
    <n v="38978.629999999997"/>
    <n v="1301.8862419999998"/>
    <n v="13"/>
    <n v="568"/>
    <x v="0"/>
    <n v="1"/>
    <s v="Default"/>
    <n v="1"/>
    <n v="13911.52"/>
    <s v="High Income"/>
    <s v="Self-employed"/>
    <s v="With Loan"/>
    <s v="High-Risk"/>
  </r>
  <r>
    <s v="T000906"/>
    <s v="C1814"/>
    <s v="AC66379703"/>
    <x v="64"/>
    <x v="8"/>
    <x v="10"/>
    <x v="0"/>
    <n v="9356.44"/>
    <x v="0"/>
    <n v="48825.599999999999"/>
    <s v="Medium"/>
    <x v="2"/>
    <n v="60"/>
    <x v="2"/>
    <s v="Male"/>
    <s v="Credit"/>
    <x v="240"/>
    <s v="GBP"/>
    <x v="1"/>
    <n v="1.84E-2"/>
    <n v="1.84"/>
    <s v="low"/>
    <n v="26681.654999999999"/>
    <n v="490.94245199999995"/>
    <n v="25"/>
    <n v="535"/>
    <x v="0"/>
    <n v="0"/>
    <s v="Good"/>
    <n v="1"/>
    <n v="7048.77"/>
    <s v="High Income"/>
    <s v="Unemployed"/>
    <s v="Without Loan"/>
    <s v="Low-Risk"/>
  </r>
  <r>
    <s v="T000907"/>
    <s v="C1345"/>
    <s v="AC62215024"/>
    <x v="23"/>
    <x v="15"/>
    <x v="9"/>
    <x v="2"/>
    <n v="4362.3500000000004"/>
    <x v="1"/>
    <n v="17896.060000000001"/>
    <s v="Medium"/>
    <x v="2"/>
    <n v="20"/>
    <x v="4"/>
    <s v="Male"/>
    <s v="Credit"/>
    <x v="111"/>
    <s v="GBP"/>
    <x v="1"/>
    <n v="1.2999999999999999E-2"/>
    <n v="1.2999999999999999E-2"/>
    <s v="low"/>
    <n v="28303.040000000001"/>
    <n v="367.93952000000002"/>
    <n v="13"/>
    <n v="576"/>
    <x v="0"/>
    <n v="0"/>
    <s v="Good"/>
    <n v="1"/>
    <n v="9753.33"/>
    <s v="High Income"/>
    <s v="Self-employed"/>
    <s v="With Loan"/>
    <s v="Low-Risk"/>
  </r>
  <r>
    <s v="T000908"/>
    <s v="C9554"/>
    <s v="AC30668329"/>
    <x v="274"/>
    <x v="29"/>
    <x v="2"/>
    <x v="1"/>
    <n v="8792.0499999999993"/>
    <x v="1"/>
    <n v="17528.240000000002"/>
    <s v="Medium"/>
    <x v="3"/>
    <n v="52"/>
    <x v="2"/>
    <s v="Male"/>
    <s v="Checking"/>
    <x v="505"/>
    <s v="EUR"/>
    <x v="0"/>
    <n v="2.86E-2"/>
    <n v="2.86"/>
    <s v="low"/>
    <n v="45083.55"/>
    <n v="1289.3895300000001"/>
    <n v="13"/>
    <n v="574"/>
    <x v="0"/>
    <n v="1"/>
    <s v="Default"/>
    <n v="1"/>
    <n v="8509.06"/>
    <s v="High Income"/>
    <s v="Self-employed"/>
    <s v="With Loan"/>
    <s v="High-Risk"/>
  </r>
  <r>
    <s v="T000909"/>
    <s v="C3443"/>
    <s v="AC38186921"/>
    <x v="121"/>
    <x v="8"/>
    <x v="1"/>
    <x v="2"/>
    <n v="6094.5"/>
    <x v="1"/>
    <n v="16283.68"/>
    <s v="Medium"/>
    <x v="1"/>
    <n v="29"/>
    <x v="0"/>
    <s v="Female"/>
    <s v="Credit"/>
    <x v="569"/>
    <s v="GBP"/>
    <x v="0"/>
    <n v="3.4599999999999999E-2"/>
    <n v="3.46"/>
    <s v="low"/>
    <n v="26681.654999999999"/>
    <n v="923.18526299999996"/>
    <n v="17"/>
    <n v="385"/>
    <x v="0"/>
    <n v="1"/>
    <s v="Default"/>
    <n v="1"/>
    <n v="14760.94"/>
    <s v="High Income"/>
    <s v="Unemployed"/>
    <s v="Without Loan"/>
    <s v="Low-Risk"/>
  </r>
  <r>
    <s v="T000910"/>
    <s v="C8783"/>
    <s v="AC59402807"/>
    <x v="378"/>
    <x v="19"/>
    <x v="7"/>
    <x v="0"/>
    <n v="2546.6"/>
    <x v="1"/>
    <n v="6983.46"/>
    <s v="Low"/>
    <x v="2"/>
    <n v="41"/>
    <x v="1"/>
    <s v="Male"/>
    <s v="Credit"/>
    <x v="570"/>
    <s v="EUR"/>
    <x v="1"/>
    <n v="1.38E-2"/>
    <n v="1.38"/>
    <s v="low"/>
    <n v="26681.654999999999"/>
    <n v="368.206839"/>
    <n v="13"/>
    <n v="362"/>
    <x v="0"/>
    <n v="0"/>
    <s v="Good"/>
    <n v="1"/>
    <n v="12804.1"/>
    <s v="High Income"/>
    <s v="Employed"/>
    <s v="Without Loan"/>
    <s v="Low-Risk"/>
  </r>
  <r>
    <s v="T000911"/>
    <s v="C1984"/>
    <s v="AC88500947"/>
    <x v="262"/>
    <x v="23"/>
    <x v="8"/>
    <x v="2"/>
    <n v="3622.96"/>
    <x v="1"/>
    <n v="6445.72"/>
    <s v="Low"/>
    <x v="4"/>
    <n v="22"/>
    <x v="4"/>
    <s v="Male"/>
    <s v="Credit"/>
    <x v="266"/>
    <s v="USD"/>
    <x v="0"/>
    <n v="4.8000000000000001E-2"/>
    <n v="4.8000000000000001E-2"/>
    <s v="low"/>
    <n v="29593.51"/>
    <n v="1420.48848"/>
    <n v="26"/>
    <n v="703"/>
    <x v="3"/>
    <n v="1"/>
    <s v="Default"/>
    <n v="3"/>
    <n v="13852.59"/>
    <s v="High Income"/>
    <s v="Employed"/>
    <s v="With Loan"/>
    <s v="Low-Risk"/>
  </r>
  <r>
    <s v="T000912"/>
    <s v="C8790"/>
    <s v="AC73546819"/>
    <x v="413"/>
    <x v="4"/>
    <x v="1"/>
    <x v="2"/>
    <n v="930.8"/>
    <x v="0"/>
    <n v="32757.15"/>
    <s v="Medium"/>
    <x v="4"/>
    <n v="37"/>
    <x v="1"/>
    <s v="Female"/>
    <s v="Credit"/>
    <x v="239"/>
    <s v="USD"/>
    <x v="1"/>
    <n v="4.9200000000000001E-2"/>
    <n v="4.92"/>
    <s v="high"/>
    <n v="27768.45"/>
    <n v="1366.2077400000001"/>
    <n v="21"/>
    <n v="491"/>
    <x v="0"/>
    <n v="0"/>
    <s v="Good"/>
    <n v="1"/>
    <n v="5306.42"/>
    <s v="High Income"/>
    <s v="Unemployed"/>
    <s v="With Loan"/>
    <s v="Low-Risk"/>
  </r>
  <r>
    <s v="T000913"/>
    <s v="C1827"/>
    <s v="AC23952821"/>
    <x v="44"/>
    <x v="22"/>
    <x v="0"/>
    <x v="3"/>
    <n v="3401.28"/>
    <x v="0"/>
    <n v="43880.78"/>
    <s v="Medium"/>
    <x v="1"/>
    <n v="56"/>
    <x v="2"/>
    <s v="Female"/>
    <s v="Savings"/>
    <x v="571"/>
    <s v="EUR"/>
    <x v="0"/>
    <n v="3.1800000000000002E-2"/>
    <n v="3.18"/>
    <s v="low"/>
    <n v="15005.89"/>
    <n v="477.18730199999999"/>
    <n v="13"/>
    <n v="592"/>
    <x v="2"/>
    <n v="1"/>
    <s v="Default"/>
    <n v="2"/>
    <n v="12042.84"/>
    <s v="High Income"/>
    <s v="Employed"/>
    <s v="With Loan"/>
    <s v="Low-Risk"/>
  </r>
  <r>
    <s v="T000914"/>
    <s v="C4531"/>
    <s v="AC91503616"/>
    <x v="114"/>
    <x v="14"/>
    <x v="2"/>
    <x v="0"/>
    <n v="6807.66"/>
    <x v="0"/>
    <n v="39735.51"/>
    <s v="Medium"/>
    <x v="2"/>
    <n v="56"/>
    <x v="2"/>
    <s v="Female"/>
    <s v="Checking"/>
    <x v="396"/>
    <s v="EUR"/>
    <x v="1"/>
    <n v="4.8000000000000001E-2"/>
    <n v="4.8000000000000001E-2"/>
    <s v="low"/>
    <n v="26681.654999999999"/>
    <n v="1280.7194400000001"/>
    <n v="13"/>
    <n v="330"/>
    <x v="0"/>
    <n v="0"/>
    <s v="Good"/>
    <n v="1"/>
    <n v="5451.15"/>
    <s v="High Income"/>
    <s v="Self-employed"/>
    <s v="Without Loan"/>
    <s v="Low-Risk"/>
  </r>
  <r>
    <s v="T000915"/>
    <s v="C8147"/>
    <s v="AC62237687"/>
    <x v="468"/>
    <x v="2"/>
    <x v="0"/>
    <x v="0"/>
    <n v="813.9"/>
    <x v="1"/>
    <n v="7914.27"/>
    <s v="Low"/>
    <x v="3"/>
    <n v="30"/>
    <x v="0"/>
    <s v="Male"/>
    <s v="Checking"/>
    <x v="572"/>
    <s v="EUR"/>
    <x v="1"/>
    <n v="1.72E-2"/>
    <n v="1.72"/>
    <s v="low"/>
    <n v="11326.32"/>
    <n v="194.812704"/>
    <n v="13"/>
    <n v="629"/>
    <x v="2"/>
    <n v="0"/>
    <s v="Good"/>
    <n v="2"/>
    <n v="4713.6499999999996"/>
    <s v="Middle Income"/>
    <s v="Self-employed"/>
    <s v="With Loan"/>
    <s v="Low-Risk"/>
  </r>
  <r>
    <s v="T000916"/>
    <s v="C5451"/>
    <s v="AC45009897"/>
    <x v="469"/>
    <x v="8"/>
    <x v="3"/>
    <x v="2"/>
    <n v="2133.4699999999998"/>
    <x v="0"/>
    <n v="27733.52"/>
    <s v="Medium"/>
    <x v="3"/>
    <n v="58"/>
    <x v="2"/>
    <s v="Female"/>
    <s v="Credit"/>
    <x v="197"/>
    <s v="EUR"/>
    <x v="1"/>
    <n v="1.0999999999999999E-2"/>
    <n v="1.0999999999999999E-2"/>
    <s v="low"/>
    <n v="26681.654999999999"/>
    <n v="293.49820499999998"/>
    <n v="1"/>
    <n v="406"/>
    <x v="0"/>
    <n v="0"/>
    <s v="Good"/>
    <n v="1"/>
    <n v="14275.46"/>
    <s v="High Income"/>
    <s v="Self-employed"/>
    <s v="Without Loan"/>
    <s v="Low-Risk"/>
  </r>
  <r>
    <s v="T000917"/>
    <s v="C4876"/>
    <s v="AC89690286"/>
    <x v="67"/>
    <x v="10"/>
    <x v="0"/>
    <x v="3"/>
    <n v="3876.27"/>
    <x v="1"/>
    <n v="6173.99"/>
    <s v="Low"/>
    <x v="3"/>
    <n v="62"/>
    <x v="3"/>
    <s v="Male"/>
    <s v="Savings"/>
    <x v="206"/>
    <s v="GBP"/>
    <x v="2"/>
    <n v="1.1599999999999999E-2"/>
    <n v="1.1599999999999999"/>
    <s v="low"/>
    <n v="35415.129999999997"/>
    <n v="410.81550799999997"/>
    <n v="14"/>
    <n v="575"/>
    <x v="0"/>
    <n v="2"/>
    <s v="Good"/>
    <n v="1"/>
    <n v="2250.96"/>
    <s v="Low Income"/>
    <s v="Employed"/>
    <s v="With Loan"/>
    <s v="High-Risk"/>
  </r>
  <r>
    <s v="T000918"/>
    <s v="C6959"/>
    <s v="AC69714426"/>
    <x v="220"/>
    <x v="28"/>
    <x v="11"/>
    <x v="0"/>
    <n v="9822.2900000000009"/>
    <x v="1"/>
    <n v="3219.44"/>
    <s v="Low"/>
    <x v="4"/>
    <n v="29"/>
    <x v="0"/>
    <s v="Female"/>
    <s v="Checking"/>
    <x v="573"/>
    <s v="USD"/>
    <x v="0"/>
    <n v="3.3500000000000002E-2"/>
    <n v="3.35"/>
    <s v="low"/>
    <n v="26681.654999999999"/>
    <n v="893.8354425"/>
    <n v="13"/>
    <n v="381"/>
    <x v="0"/>
    <n v="1"/>
    <s v="Default"/>
    <n v="1"/>
    <n v="14550.05"/>
    <s v="High Income"/>
    <s v="Employed"/>
    <s v="Without Loan"/>
    <s v="Low-Risk"/>
  </r>
  <r>
    <s v="T000919"/>
    <s v="C1126"/>
    <s v="AC21098252"/>
    <x v="43"/>
    <x v="10"/>
    <x v="3"/>
    <x v="1"/>
    <n v="7870.13"/>
    <x v="0"/>
    <n v="33162.910000000003"/>
    <s v="Medium"/>
    <x v="2"/>
    <n v="30"/>
    <x v="0"/>
    <s v="Female"/>
    <s v="Checking"/>
    <x v="537"/>
    <s v="GBP"/>
    <x v="1"/>
    <n v="1.2500000000000001E-2"/>
    <n v="1.25"/>
    <s v="low"/>
    <n v="9144.3799999999992"/>
    <n v="114.30475"/>
    <n v="2"/>
    <n v="363"/>
    <x v="0"/>
    <n v="0"/>
    <s v="Good"/>
    <n v="1"/>
    <n v="3940.4"/>
    <s v="Middle Income"/>
    <s v="Unemployed"/>
    <s v="With Loan"/>
    <s v="Low-Risk"/>
  </r>
  <r>
    <s v="T000920"/>
    <s v="C4177"/>
    <s v="AC43766262"/>
    <x v="231"/>
    <x v="0"/>
    <x v="6"/>
    <x v="2"/>
    <n v="7361.52"/>
    <x v="0"/>
    <n v="27222.46"/>
    <s v="Medium"/>
    <x v="2"/>
    <n v="27"/>
    <x v="0"/>
    <s v="Female"/>
    <s v="Credit"/>
    <x v="574"/>
    <s v="EUR"/>
    <x v="2"/>
    <n v="4.8300000000000003E-2"/>
    <n v="4.83"/>
    <s v="high"/>
    <n v="26681.654999999999"/>
    <n v="1288.7239365"/>
    <n v="19"/>
    <n v="428"/>
    <x v="0"/>
    <n v="2"/>
    <s v="Good"/>
    <n v="1"/>
    <n v="12652.7"/>
    <s v="High Income"/>
    <s v="Self-employed"/>
    <s v="Without Loan"/>
    <s v="Low-Risk"/>
  </r>
  <r>
    <s v="T000921"/>
    <s v="C9795"/>
    <s v="AC65771029"/>
    <x v="134"/>
    <x v="7"/>
    <x v="2"/>
    <x v="0"/>
    <n v="1250.29"/>
    <x v="1"/>
    <n v="5019.16"/>
    <s v="Low"/>
    <x v="4"/>
    <n v="50"/>
    <x v="2"/>
    <s v="Male"/>
    <s v="Credit"/>
    <x v="241"/>
    <s v="GBP"/>
    <x v="1"/>
    <n v="1.5699999999999999E-2"/>
    <n v="1.57"/>
    <s v="low"/>
    <n v="44472.14"/>
    <n v="698.21259799999996"/>
    <n v="15"/>
    <n v="555"/>
    <x v="0"/>
    <n v="0"/>
    <s v="Good"/>
    <n v="1"/>
    <n v="5586.99"/>
    <s v="High Income"/>
    <s v="Unemployed"/>
    <s v="With Loan"/>
    <s v="High-Risk"/>
  </r>
  <r>
    <s v="T000922"/>
    <s v="C7024"/>
    <s v="AC38728437"/>
    <x v="457"/>
    <x v="1"/>
    <x v="1"/>
    <x v="1"/>
    <n v="7831.86"/>
    <x v="1"/>
    <n v="2712.02"/>
    <s v="Low"/>
    <x v="3"/>
    <n v="57"/>
    <x v="2"/>
    <s v="Male"/>
    <s v="Checking"/>
    <x v="575"/>
    <s v="GBP"/>
    <x v="2"/>
    <n v="2.2200000000000001E-2"/>
    <n v="2.2200000000000002"/>
    <s v="low"/>
    <n v="22786.43"/>
    <n v="505.85874600000005"/>
    <n v="28"/>
    <n v="530"/>
    <x v="0"/>
    <n v="2"/>
    <s v="Good"/>
    <n v="1"/>
    <n v="6559.13"/>
    <s v="High Income"/>
    <s v="Employed"/>
    <s v="With Loan"/>
    <s v="Low-Risk"/>
  </r>
  <r>
    <s v="T000923"/>
    <s v="C6109"/>
    <s v="AC75176852"/>
    <x v="470"/>
    <x v="17"/>
    <x v="4"/>
    <x v="0"/>
    <n v="7874.16"/>
    <x v="0"/>
    <n v="49498.06"/>
    <s v="Medium"/>
    <x v="3"/>
    <n v="33"/>
    <x v="0"/>
    <s v="Male"/>
    <s v="Checking"/>
    <x v="532"/>
    <s v="USD"/>
    <x v="1"/>
    <n v="4.2900000000000001E-2"/>
    <n v="4.29"/>
    <s v="high"/>
    <n v="25983.63"/>
    <n v="1114.697727"/>
    <n v="13"/>
    <n v="796"/>
    <x v="4"/>
    <n v="0"/>
    <s v="Good"/>
    <n v="4"/>
    <n v="4817.8500000000004"/>
    <s v="Middle Income"/>
    <s v="Unemployed"/>
    <s v="With Loan"/>
    <s v="Low-Risk"/>
  </r>
  <r>
    <s v="T000924"/>
    <s v="C5146"/>
    <s v="AC49541461"/>
    <x v="471"/>
    <x v="18"/>
    <x v="3"/>
    <x v="1"/>
    <n v="6050.92"/>
    <x v="1"/>
    <n v="2471.0500000000002"/>
    <s v="Low"/>
    <x v="1"/>
    <n v="62"/>
    <x v="3"/>
    <s v="Male"/>
    <s v="Savings"/>
    <x v="422"/>
    <s v="GBP"/>
    <x v="1"/>
    <n v="1.8700000000000001E-2"/>
    <n v="1.87"/>
    <s v="low"/>
    <n v="43729.33"/>
    <n v="817.73847100000012"/>
    <n v="13"/>
    <n v="436"/>
    <x v="0"/>
    <n v="0"/>
    <s v="Good"/>
    <n v="1"/>
    <n v="9611.68"/>
    <s v="High Income"/>
    <s v="Employed"/>
    <s v="With Loan"/>
    <s v="High-Risk"/>
  </r>
  <r>
    <s v="T000925"/>
    <s v="C8196"/>
    <s v="AC50071048"/>
    <x v="220"/>
    <x v="28"/>
    <x v="11"/>
    <x v="2"/>
    <n v="9904.58"/>
    <x v="0"/>
    <n v="22781.88"/>
    <s v="Medium"/>
    <x v="0"/>
    <n v="52"/>
    <x v="2"/>
    <s v="Male"/>
    <s v="Checking"/>
    <x v="413"/>
    <s v="USD"/>
    <x v="2"/>
    <n v="1.9699999999999999E-2"/>
    <n v="1.97"/>
    <s v="low"/>
    <n v="26681.654999999999"/>
    <n v="525.62860349999994"/>
    <n v="13"/>
    <n v="754"/>
    <x v="4"/>
    <n v="2"/>
    <s v="Good"/>
    <n v="4"/>
    <n v="6525.24"/>
    <s v="High Income"/>
    <s v="Self-employed"/>
    <s v="Without Loan"/>
    <s v="Low-Risk"/>
  </r>
  <r>
    <s v="T000926"/>
    <s v="C4368"/>
    <s v="AC63660697"/>
    <x v="472"/>
    <x v="3"/>
    <x v="1"/>
    <x v="0"/>
    <n v="3320.01"/>
    <x v="0"/>
    <n v="25726.33"/>
    <s v="Medium"/>
    <x v="2"/>
    <n v="20"/>
    <x v="4"/>
    <s v="Male"/>
    <s v="Checking"/>
    <x v="136"/>
    <s v="EUR"/>
    <x v="2"/>
    <n v="3.5700000000000003E-2"/>
    <n v="3.57"/>
    <s v="low"/>
    <n v="26681.654999999999"/>
    <n v="952.53508350000004"/>
    <n v="19"/>
    <n v="654"/>
    <x v="2"/>
    <n v="2"/>
    <s v="Good"/>
    <n v="2"/>
    <n v="10546.11"/>
    <s v="High Income"/>
    <s v="Self-employed"/>
    <s v="Without Loan"/>
    <s v="Low-Risk"/>
  </r>
  <r>
    <s v="T000927"/>
    <s v="C4797"/>
    <s v="AC84006537"/>
    <x v="202"/>
    <x v="4"/>
    <x v="6"/>
    <x v="0"/>
    <n v="9418.6"/>
    <x v="1"/>
    <n v="6746.73"/>
    <s v="Low"/>
    <x v="2"/>
    <n v="22"/>
    <x v="4"/>
    <s v="Male"/>
    <s v="Credit"/>
    <x v="429"/>
    <s v="GBP"/>
    <x v="0"/>
    <n v="2.1000000000000001E-2"/>
    <n v="2.1000000000000001E-2"/>
    <s v="low"/>
    <n v="26681.654999999999"/>
    <n v="560.31475499999999"/>
    <n v="21"/>
    <n v="784"/>
    <x v="4"/>
    <n v="1"/>
    <s v="Default"/>
    <n v="4"/>
    <n v="2203.42"/>
    <s v="Low Income"/>
    <s v="Employed"/>
    <s v="Without Loan"/>
    <s v="Low-Risk"/>
  </r>
  <r>
    <s v="T000928"/>
    <s v="C2792"/>
    <s v="AC89557591"/>
    <x v="27"/>
    <x v="15"/>
    <x v="2"/>
    <x v="3"/>
    <n v="9155.84"/>
    <x v="1"/>
    <n v="9284.0300000000007"/>
    <s v="Low"/>
    <x v="2"/>
    <n v="43"/>
    <x v="1"/>
    <s v="Male"/>
    <s v="Checking"/>
    <x v="219"/>
    <s v="EUR"/>
    <x v="0"/>
    <n v="1.8700000000000001E-2"/>
    <n v="1.87"/>
    <s v="low"/>
    <n v="26681.654999999999"/>
    <n v="498.94694850000002"/>
    <n v="10"/>
    <n v="445"/>
    <x v="0"/>
    <n v="1"/>
    <s v="Default"/>
    <n v="1"/>
    <n v="2836.87"/>
    <s v="Low Income"/>
    <s v="Employed"/>
    <s v="Without Loan"/>
    <s v="Low-Risk"/>
  </r>
  <r>
    <s v="T000929"/>
    <s v="C6732"/>
    <s v="AC30523385"/>
    <x v="37"/>
    <x v="2"/>
    <x v="0"/>
    <x v="2"/>
    <n v="213.66"/>
    <x v="1"/>
    <n v="18238.45"/>
    <s v="Medium"/>
    <x v="0"/>
    <n v="28"/>
    <x v="0"/>
    <s v="Male"/>
    <s v="Credit"/>
    <x v="576"/>
    <s v="USD"/>
    <x v="2"/>
    <n v="2.0199999999999999E-2"/>
    <n v="2.02"/>
    <s v="low"/>
    <n v="26681.654999999999"/>
    <n v="538.96943099999999"/>
    <n v="1"/>
    <n v="332"/>
    <x v="0"/>
    <n v="2"/>
    <s v="Good"/>
    <n v="1"/>
    <n v="3295.59"/>
    <s v="Middle Income"/>
    <s v="Employed"/>
    <s v="Without Loan"/>
    <s v="Low-Risk"/>
  </r>
  <r>
    <s v="T000930"/>
    <s v="C4476"/>
    <s v="AC83111160"/>
    <x v="282"/>
    <x v="14"/>
    <x v="7"/>
    <x v="1"/>
    <n v="4556.1499999999996"/>
    <x v="0"/>
    <n v="38322.120000000003"/>
    <s v="Medium"/>
    <x v="1"/>
    <n v="24"/>
    <x v="4"/>
    <s v="Female"/>
    <s v="Checking"/>
    <x v="543"/>
    <s v="EUR"/>
    <x v="0"/>
    <n v="2.9600000000000001E-2"/>
    <n v="2.96"/>
    <s v="low"/>
    <n v="7273.41"/>
    <n v="215.292936"/>
    <n v="13"/>
    <n v="559"/>
    <x v="0"/>
    <n v="1"/>
    <s v="Default"/>
    <n v="1"/>
    <n v="7446.92"/>
    <s v="High Income"/>
    <s v="Self-employed"/>
    <s v="With Loan"/>
    <s v="Low-Risk"/>
  </r>
  <r>
    <s v="T000931"/>
    <s v="C4417"/>
    <s v="AC95661847"/>
    <x v="246"/>
    <x v="18"/>
    <x v="6"/>
    <x v="0"/>
    <n v="9773.33"/>
    <x v="0"/>
    <n v="25847.040000000001"/>
    <s v="Medium"/>
    <x v="0"/>
    <n v="27"/>
    <x v="0"/>
    <s v="Female"/>
    <s v="Checking"/>
    <x v="577"/>
    <s v="EUR"/>
    <x v="2"/>
    <n v="4.8599999999999997E-2"/>
    <n v="4.8600000000000003"/>
    <s v="high"/>
    <n v="26681.654999999999"/>
    <n v="1296.7284329999998"/>
    <n v="22"/>
    <n v="386"/>
    <x v="0"/>
    <n v="2"/>
    <s v="Good"/>
    <n v="1"/>
    <n v="12592.35"/>
    <s v="High Income"/>
    <s v="Employed"/>
    <s v="Without Loan"/>
    <s v="Low-Risk"/>
  </r>
  <r>
    <s v="T000932"/>
    <s v="C2645"/>
    <s v="AC51538255"/>
    <x v="470"/>
    <x v="17"/>
    <x v="4"/>
    <x v="0"/>
    <n v="1120.9000000000001"/>
    <x v="0"/>
    <n v="32257.19"/>
    <s v="Medium"/>
    <x v="3"/>
    <n v="59"/>
    <x v="2"/>
    <s v="Male"/>
    <s v="Checking"/>
    <x v="454"/>
    <s v="USD"/>
    <x v="0"/>
    <n v="4.3299999999999998E-2"/>
    <n v="4.33"/>
    <s v="high"/>
    <n v="26681.654999999999"/>
    <n v="1155.3156614999998"/>
    <n v="15"/>
    <n v="564"/>
    <x v="0"/>
    <n v="1"/>
    <s v="Default"/>
    <n v="1"/>
    <n v="13546.31"/>
    <s v="High Income"/>
    <s v="Self-employed"/>
    <s v="Without Loan"/>
    <s v="Low-Risk"/>
  </r>
  <r>
    <s v="T000933"/>
    <s v="C4030"/>
    <s v="AC87827225"/>
    <x v="434"/>
    <x v="2"/>
    <x v="8"/>
    <x v="1"/>
    <n v="5523.07"/>
    <x v="0"/>
    <n v="49273.55"/>
    <s v="Medium"/>
    <x v="3"/>
    <n v="69"/>
    <x v="3"/>
    <s v="Male"/>
    <s v="Savings"/>
    <x v="311"/>
    <s v="EUR"/>
    <x v="1"/>
    <n v="2.1399999999999999E-2"/>
    <n v="2.14"/>
    <s v="low"/>
    <n v="26681.654999999999"/>
    <n v="570.98741699999994"/>
    <n v="13"/>
    <n v="841"/>
    <x v="1"/>
    <n v="0"/>
    <s v="Good"/>
    <n v="5"/>
    <n v="5182.54"/>
    <s v="High Income"/>
    <s v="Unemployed"/>
    <s v="Without Loan"/>
    <s v="Low-Risk"/>
  </r>
  <r>
    <s v="T000934"/>
    <s v="C3872"/>
    <s v="AC34245082"/>
    <x v="86"/>
    <x v="1"/>
    <x v="10"/>
    <x v="2"/>
    <n v="9791.68"/>
    <x v="0"/>
    <n v="38632.269999999997"/>
    <s v="Medium"/>
    <x v="2"/>
    <n v="51"/>
    <x v="2"/>
    <s v="Male"/>
    <s v="Credit"/>
    <x v="366"/>
    <s v="EUR"/>
    <x v="0"/>
    <n v="2.4500000000000001E-2"/>
    <n v="2.4500000000000002"/>
    <s v="low"/>
    <n v="26681.654999999999"/>
    <n v="653.70054749999997"/>
    <n v="13"/>
    <n v="691"/>
    <x v="3"/>
    <n v="1"/>
    <s v="Default"/>
    <n v="3"/>
    <n v="9466.81"/>
    <s v="High Income"/>
    <s v="Self-employed"/>
    <s v="Without Loan"/>
    <s v="Low-Risk"/>
  </r>
  <r>
    <s v="T000935"/>
    <s v="C4072"/>
    <s v="AC99380419"/>
    <x v="473"/>
    <x v="28"/>
    <x v="6"/>
    <x v="3"/>
    <n v="5599.4"/>
    <x v="0"/>
    <n v="22283.71"/>
    <s v="Medium"/>
    <x v="4"/>
    <n v="20"/>
    <x v="4"/>
    <s v="Male"/>
    <s v="Savings"/>
    <x v="578"/>
    <s v="EUR"/>
    <x v="1"/>
    <n v="2.86E-2"/>
    <n v="2.86"/>
    <s v="low"/>
    <n v="42910.6"/>
    <n v="1227.24316"/>
    <n v="13"/>
    <n v="531"/>
    <x v="0"/>
    <n v="0"/>
    <s v="Good"/>
    <n v="1"/>
    <n v="11988.74"/>
    <s v="High Income"/>
    <s v="Unemployed"/>
    <s v="With Loan"/>
    <s v="High-Risk"/>
  </r>
  <r>
    <s v="T000936"/>
    <s v="C2854"/>
    <s v="AC66728215"/>
    <x v="222"/>
    <x v="28"/>
    <x v="2"/>
    <x v="3"/>
    <n v="1979.17"/>
    <x v="0"/>
    <n v="22875.65"/>
    <s v="Medium"/>
    <x v="2"/>
    <n v="25"/>
    <x v="4"/>
    <s v="Female"/>
    <s v="Checking"/>
    <x v="397"/>
    <s v="GBP"/>
    <x v="1"/>
    <n v="4.9200000000000001E-2"/>
    <n v="4.92"/>
    <s v="high"/>
    <n v="25967.48"/>
    <n v="1277.6000160000001"/>
    <n v="22"/>
    <n v="746"/>
    <x v="4"/>
    <n v="0"/>
    <s v="Good"/>
    <n v="4"/>
    <n v="5754.78"/>
    <s v="High Income"/>
    <s v="Self-employed"/>
    <s v="With Loan"/>
    <s v="Low-Risk"/>
  </r>
  <r>
    <s v="T000937"/>
    <s v="C5021"/>
    <s v="AC53440658"/>
    <x v="402"/>
    <x v="9"/>
    <x v="6"/>
    <x v="0"/>
    <n v="5863.61"/>
    <x v="0"/>
    <n v="31319.83"/>
    <s v="Medium"/>
    <x v="4"/>
    <n v="48"/>
    <x v="2"/>
    <s v="Female"/>
    <s v="Savings"/>
    <x v="579"/>
    <s v="EUR"/>
    <x v="0"/>
    <n v="1.6899999999999998E-2"/>
    <n v="1.69"/>
    <s v="low"/>
    <n v="9205.43"/>
    <n v="155.57176699999999"/>
    <n v="25"/>
    <n v="428"/>
    <x v="0"/>
    <n v="1"/>
    <s v="Default"/>
    <n v="1"/>
    <n v="7317.1"/>
    <s v="High Income"/>
    <s v="Self-employed"/>
    <s v="With Loan"/>
    <s v="Low-Risk"/>
  </r>
  <r>
    <s v="T000938"/>
    <s v="C5662"/>
    <s v="AC41886947"/>
    <x v="126"/>
    <x v="24"/>
    <x v="8"/>
    <x v="1"/>
    <n v="2123.96"/>
    <x v="0"/>
    <n v="33602.9"/>
    <s v="Medium"/>
    <x v="0"/>
    <n v="28"/>
    <x v="0"/>
    <s v="Male"/>
    <s v="Credit"/>
    <x v="52"/>
    <s v="USD"/>
    <x v="2"/>
    <n v="2.4299999999999999E-2"/>
    <n v="2.4300000000000002"/>
    <s v="low"/>
    <n v="36806.879999999997"/>
    <n v="894.40718399999992"/>
    <n v="18"/>
    <n v="570"/>
    <x v="0"/>
    <n v="2"/>
    <s v="Good"/>
    <n v="1"/>
    <n v="8811.66"/>
    <s v="High Income"/>
    <s v="Employed"/>
    <s v="With Loan"/>
    <s v="High-Risk"/>
  </r>
  <r>
    <s v="T000939"/>
    <s v="C7514"/>
    <s v="AC85111483"/>
    <x v="377"/>
    <x v="15"/>
    <x v="3"/>
    <x v="0"/>
    <n v="5245.07"/>
    <x v="0"/>
    <n v="25534.84"/>
    <s v="Medium"/>
    <x v="3"/>
    <n v="62"/>
    <x v="3"/>
    <s v="Female"/>
    <s v="Checking"/>
    <x v="273"/>
    <s v="GBP"/>
    <x v="1"/>
    <n v="3.9199999999999999E-2"/>
    <n v="3.92"/>
    <s v="low"/>
    <n v="26681.654999999999"/>
    <n v="1045.9208759999999"/>
    <n v="13"/>
    <n v="388"/>
    <x v="0"/>
    <n v="0"/>
    <s v="Good"/>
    <n v="1"/>
    <n v="3753.37"/>
    <s v="Middle Income"/>
    <s v="Self-employed"/>
    <s v="Without Loan"/>
    <s v="Low-Risk"/>
  </r>
  <r>
    <s v="T000940"/>
    <s v="C6031"/>
    <s v="AC75174694"/>
    <x v="474"/>
    <x v="26"/>
    <x v="3"/>
    <x v="1"/>
    <n v="833.02"/>
    <x v="0"/>
    <n v="32598.2"/>
    <s v="Medium"/>
    <x v="4"/>
    <n v="24"/>
    <x v="4"/>
    <s v="Female"/>
    <s v="Savings"/>
    <x v="580"/>
    <s v="GBP"/>
    <x v="1"/>
    <n v="4.8599999999999997E-2"/>
    <n v="4.8600000000000003"/>
    <s v="high"/>
    <n v="26681.654999999999"/>
    <n v="1296.7284329999998"/>
    <n v="10"/>
    <n v="765"/>
    <x v="4"/>
    <n v="0"/>
    <s v="Good"/>
    <n v="4"/>
    <n v="2337.77"/>
    <s v="Low Income"/>
    <s v="Employed"/>
    <s v="Without Loan"/>
    <s v="Low-Risk"/>
  </r>
  <r>
    <s v="T000941"/>
    <s v="C3708"/>
    <s v="AC58532681"/>
    <x v="358"/>
    <x v="24"/>
    <x v="7"/>
    <x v="3"/>
    <n v="6094.28"/>
    <x v="1"/>
    <n v="2153.09"/>
    <s v="Low"/>
    <x v="0"/>
    <n v="62"/>
    <x v="3"/>
    <s v="Male"/>
    <s v="Savings"/>
    <x v="115"/>
    <s v="USD"/>
    <x v="0"/>
    <n v="1.6199999999999999E-2"/>
    <n v="1.62"/>
    <s v="low"/>
    <n v="5705.26"/>
    <n v="92.425212000000002"/>
    <n v="24"/>
    <n v="469"/>
    <x v="0"/>
    <n v="1"/>
    <s v="Default"/>
    <n v="1"/>
    <n v="3986.48"/>
    <s v="Middle Income"/>
    <s v="Employed"/>
    <s v="With Loan"/>
    <s v="Low-Risk"/>
  </r>
  <r>
    <s v="T000942"/>
    <s v="C8112"/>
    <s v="AC17667857"/>
    <x v="111"/>
    <x v="26"/>
    <x v="10"/>
    <x v="2"/>
    <n v="5216.22"/>
    <x v="0"/>
    <n v="22051.52"/>
    <s v="Medium"/>
    <x v="3"/>
    <n v="19"/>
    <x v="4"/>
    <s v="Male"/>
    <s v="Credit"/>
    <x v="581"/>
    <s v="EUR"/>
    <x v="2"/>
    <n v="1.9099999999999999E-2"/>
    <n v="1.91"/>
    <s v="low"/>
    <n v="23809.919999999998"/>
    <n v="454.76947199999995"/>
    <n v="13"/>
    <n v="427"/>
    <x v="0"/>
    <n v="2"/>
    <s v="Good"/>
    <n v="1"/>
    <n v="10149.1"/>
    <s v="High Income"/>
    <s v="Employed"/>
    <s v="With Loan"/>
    <s v="Low-Risk"/>
  </r>
  <r>
    <s v="T000943"/>
    <s v="C9393"/>
    <s v="AC81537554"/>
    <x v="475"/>
    <x v="4"/>
    <x v="11"/>
    <x v="1"/>
    <n v="7427.6"/>
    <x v="1"/>
    <n v="14667.97"/>
    <s v="Medium"/>
    <x v="4"/>
    <n v="23"/>
    <x v="4"/>
    <s v="Male"/>
    <s v="Savings"/>
    <x v="582"/>
    <s v="GBP"/>
    <x v="2"/>
    <n v="1.9E-2"/>
    <n v="1.9E-2"/>
    <s v="low"/>
    <n v="26681.654999999999"/>
    <n v="506.95144499999998"/>
    <n v="27"/>
    <n v="473"/>
    <x v="0"/>
    <n v="2"/>
    <s v="Good"/>
    <n v="1"/>
    <n v="2957.04"/>
    <s v="Low Income"/>
    <s v="Self-employed"/>
    <s v="Without Loan"/>
    <s v="Low-Risk"/>
  </r>
  <r>
    <s v="T000944"/>
    <s v="C4507"/>
    <s v="AC71279200"/>
    <x v="184"/>
    <x v="19"/>
    <x v="1"/>
    <x v="3"/>
    <n v="6343.93"/>
    <x v="1"/>
    <n v="7329.55"/>
    <s v="Low"/>
    <x v="2"/>
    <n v="58"/>
    <x v="2"/>
    <s v="Male"/>
    <s v="Credit"/>
    <x v="583"/>
    <s v="GBP"/>
    <x v="0"/>
    <n v="1.0800000000000001E-2"/>
    <n v="1.08"/>
    <s v="low"/>
    <n v="26681.654999999999"/>
    <n v="288.16187400000001"/>
    <n v="13"/>
    <n v="325"/>
    <x v="0"/>
    <n v="1"/>
    <s v="Default"/>
    <n v="1"/>
    <n v="4466.05"/>
    <s v="Middle Income"/>
    <s v="Employed"/>
    <s v="Without Loan"/>
    <s v="Low-Risk"/>
  </r>
  <r>
    <s v="T000945"/>
    <s v="C7456"/>
    <s v="AC85998646"/>
    <x v="345"/>
    <x v="22"/>
    <x v="2"/>
    <x v="0"/>
    <n v="5541.1"/>
    <x v="1"/>
    <n v="5877.78"/>
    <s v="Low"/>
    <x v="2"/>
    <n v="49"/>
    <x v="2"/>
    <s v="Female"/>
    <s v="Checking"/>
    <x v="391"/>
    <s v="GBP"/>
    <x v="2"/>
    <n v="3.4200000000000001E-2"/>
    <n v="3.42"/>
    <s v="low"/>
    <n v="17029.830000000002"/>
    <n v="582.42018600000006"/>
    <n v="13"/>
    <n v="810"/>
    <x v="1"/>
    <n v="2"/>
    <s v="Good"/>
    <n v="5"/>
    <n v="6392.1"/>
    <s v="High Income"/>
    <s v="Unemployed"/>
    <s v="With Loan"/>
    <s v="Low-Risk"/>
  </r>
  <r>
    <s v="T000946"/>
    <s v="C5212"/>
    <s v="AC60526894"/>
    <x v="254"/>
    <x v="12"/>
    <x v="0"/>
    <x v="1"/>
    <n v="6928.81"/>
    <x v="0"/>
    <n v="30556.42"/>
    <s v="Medium"/>
    <x v="2"/>
    <n v="37"/>
    <x v="1"/>
    <s v="Male"/>
    <s v="Checking"/>
    <x v="406"/>
    <s v="EUR"/>
    <x v="0"/>
    <n v="3.6799999999999999E-2"/>
    <n v="3.68"/>
    <s v="low"/>
    <n v="33370.620000000003"/>
    <n v="1228.038816"/>
    <n v="13"/>
    <n v="787"/>
    <x v="4"/>
    <n v="1"/>
    <s v="Default"/>
    <n v="4"/>
    <n v="3012.31"/>
    <s v="Middle Income"/>
    <s v="Unemployed"/>
    <s v="With Loan"/>
    <s v="Low-Risk"/>
  </r>
  <r>
    <s v="T000947"/>
    <s v="C8970"/>
    <s v="AC80805040"/>
    <x v="291"/>
    <x v="4"/>
    <x v="4"/>
    <x v="2"/>
    <n v="1525.02"/>
    <x v="0"/>
    <n v="26656.43"/>
    <s v="Medium"/>
    <x v="0"/>
    <n v="51"/>
    <x v="2"/>
    <s v="Female"/>
    <s v="Savings"/>
    <x v="480"/>
    <s v="GBP"/>
    <x v="0"/>
    <n v="3.4099999999999998E-2"/>
    <n v="3.41"/>
    <s v="low"/>
    <n v="28845.98"/>
    <n v="983.64791799999989"/>
    <n v="27"/>
    <n v="705"/>
    <x v="3"/>
    <n v="1"/>
    <s v="Default"/>
    <n v="3"/>
    <n v="4492.09"/>
    <s v="Middle Income"/>
    <s v="Self-employed"/>
    <s v="With Loan"/>
    <s v="Low-Risk"/>
  </r>
  <r>
    <s v="T000948"/>
    <s v="C9766"/>
    <s v="AC87840866"/>
    <x v="87"/>
    <x v="7"/>
    <x v="1"/>
    <x v="0"/>
    <n v="5994.06"/>
    <x v="1"/>
    <n v="13425.62"/>
    <s v="Medium"/>
    <x v="2"/>
    <n v="67"/>
    <x v="3"/>
    <s v="Male"/>
    <s v="Checking"/>
    <x v="584"/>
    <s v="USD"/>
    <x v="0"/>
    <n v="1.29E-2"/>
    <n v="1.29"/>
    <s v="low"/>
    <n v="8104.43"/>
    <n v="104.54714700000001"/>
    <n v="20"/>
    <n v="325"/>
    <x v="0"/>
    <n v="1"/>
    <s v="Default"/>
    <n v="1"/>
    <n v="13846.51"/>
    <s v="High Income"/>
    <s v="Employed"/>
    <s v="With Loan"/>
    <s v="Low-Risk"/>
  </r>
  <r>
    <s v="T000949"/>
    <s v="C1536"/>
    <s v="AC91806561"/>
    <x v="303"/>
    <x v="24"/>
    <x v="5"/>
    <x v="0"/>
    <n v="1803.89"/>
    <x v="0"/>
    <n v="24076.55"/>
    <s v="Medium"/>
    <x v="1"/>
    <n v="33"/>
    <x v="0"/>
    <s v="Female"/>
    <s v="Checking"/>
    <x v="246"/>
    <s v="EUR"/>
    <x v="1"/>
    <n v="1.2800000000000001E-2"/>
    <n v="1.28"/>
    <s v="low"/>
    <n v="26681.654999999999"/>
    <n v="341.52518400000002"/>
    <n v="13"/>
    <n v="382"/>
    <x v="0"/>
    <n v="0"/>
    <s v="Good"/>
    <n v="1"/>
    <n v="2250.89"/>
    <s v="Low Income"/>
    <s v="Unemployed"/>
    <s v="Without Loan"/>
    <s v="Low-Risk"/>
  </r>
  <r>
    <s v="T000950"/>
    <s v="C2625"/>
    <s v="AC27789600"/>
    <x v="84"/>
    <x v="22"/>
    <x v="9"/>
    <x v="3"/>
    <n v="9262.67"/>
    <x v="0"/>
    <n v="25119.38"/>
    <s v="Medium"/>
    <x v="3"/>
    <n v="42"/>
    <x v="1"/>
    <s v="Male"/>
    <s v="Savings"/>
    <x v="91"/>
    <s v="USD"/>
    <x v="1"/>
    <n v="1.84E-2"/>
    <n v="1.84"/>
    <s v="low"/>
    <n v="26681.654999999999"/>
    <n v="490.94245199999995"/>
    <n v="11"/>
    <n v="663"/>
    <x v="2"/>
    <n v="0"/>
    <s v="Good"/>
    <n v="2"/>
    <n v="10494.62"/>
    <s v="High Income"/>
    <s v="Self-employed"/>
    <s v="Without Loan"/>
    <s v="Low-Risk"/>
  </r>
  <r>
    <s v="T000951"/>
    <s v="C8973"/>
    <s v="AC27644180"/>
    <x v="309"/>
    <x v="10"/>
    <x v="8"/>
    <x v="1"/>
    <n v="776.51"/>
    <x v="1"/>
    <n v="10555.44"/>
    <s v="Medium"/>
    <x v="0"/>
    <n v="29"/>
    <x v="0"/>
    <s v="Male"/>
    <s v="Checking"/>
    <x v="575"/>
    <s v="USD"/>
    <x v="1"/>
    <n v="2.1600000000000001E-2"/>
    <n v="2.16"/>
    <s v="low"/>
    <n v="26681.654999999999"/>
    <n v="576.32374800000002"/>
    <n v="6"/>
    <n v="666"/>
    <x v="2"/>
    <n v="0"/>
    <s v="Good"/>
    <n v="2"/>
    <n v="6997.32"/>
    <s v="High Income"/>
    <s v="Self-employed"/>
    <s v="Without Loan"/>
    <s v="Low-Risk"/>
  </r>
  <r>
    <s v="T000952"/>
    <s v="C9577"/>
    <s v="AC18437712"/>
    <x v="476"/>
    <x v="17"/>
    <x v="3"/>
    <x v="0"/>
    <n v="4360.71"/>
    <x v="0"/>
    <n v="32952.559999999998"/>
    <s v="Medium"/>
    <x v="2"/>
    <n v="24"/>
    <x v="4"/>
    <s v="Female"/>
    <s v="Savings"/>
    <x v="561"/>
    <s v="GBP"/>
    <x v="0"/>
    <n v="4.1500000000000002E-2"/>
    <n v="4.1500000000000004"/>
    <s v="high"/>
    <n v="10505.24"/>
    <n v="435.96746000000002"/>
    <n v="13"/>
    <n v="359"/>
    <x v="0"/>
    <n v="1"/>
    <s v="Default"/>
    <n v="1"/>
    <n v="10744.43"/>
    <s v="High Income"/>
    <s v="Self-employed"/>
    <s v="With Loan"/>
    <s v="Low-Risk"/>
  </r>
  <r>
    <s v="T000953"/>
    <s v="C9070"/>
    <s v="AC82892046"/>
    <x v="477"/>
    <x v="27"/>
    <x v="4"/>
    <x v="2"/>
    <n v="6988.4"/>
    <x v="0"/>
    <n v="39265.050000000003"/>
    <s v="Medium"/>
    <x v="3"/>
    <n v="56"/>
    <x v="2"/>
    <s v="Female"/>
    <s v="Credit"/>
    <x v="585"/>
    <s v="GBP"/>
    <x v="1"/>
    <n v="1.6400000000000001E-2"/>
    <n v="1.64"/>
    <s v="low"/>
    <n v="26681.654999999999"/>
    <n v="437.57914199999999"/>
    <n v="1"/>
    <n v="591"/>
    <x v="2"/>
    <n v="0"/>
    <s v="Good"/>
    <n v="2"/>
    <n v="9652.99"/>
    <s v="High Income"/>
    <s v="Self-employed"/>
    <s v="Without Loan"/>
    <s v="Low-Risk"/>
  </r>
  <r>
    <s v="T000954"/>
    <s v="C9666"/>
    <s v="AC59375650"/>
    <x v="478"/>
    <x v="0"/>
    <x v="1"/>
    <x v="1"/>
    <n v="4634.42"/>
    <x v="0"/>
    <n v="39781.71"/>
    <s v="Medium"/>
    <x v="4"/>
    <n v="34"/>
    <x v="0"/>
    <s v="Female"/>
    <s v="Credit"/>
    <x v="385"/>
    <s v="GBP"/>
    <x v="1"/>
    <n v="1.18E-2"/>
    <n v="1.18"/>
    <s v="low"/>
    <n v="26681.654999999999"/>
    <n v="314.84352899999999"/>
    <n v="19"/>
    <n v="490"/>
    <x v="0"/>
    <n v="0"/>
    <s v="Good"/>
    <n v="1"/>
    <n v="4905.4799999999996"/>
    <s v="Middle Income"/>
    <s v="Self-employed"/>
    <s v="Without Loan"/>
    <s v="Low-Risk"/>
  </r>
  <r>
    <s v="T000955"/>
    <s v="C9609"/>
    <s v="AC67312219"/>
    <x v="146"/>
    <x v="28"/>
    <x v="1"/>
    <x v="2"/>
    <n v="1011.74"/>
    <x v="0"/>
    <n v="30521.02"/>
    <s v="Medium"/>
    <x v="2"/>
    <n v="62"/>
    <x v="3"/>
    <s v="Male"/>
    <s v="Credit"/>
    <x v="102"/>
    <s v="USD"/>
    <x v="1"/>
    <n v="2.58E-2"/>
    <n v="2.58"/>
    <s v="low"/>
    <n v="19002.509999999998"/>
    <n v="490.26475799999997"/>
    <n v="7"/>
    <n v="760"/>
    <x v="4"/>
    <n v="0"/>
    <s v="Good"/>
    <n v="4"/>
    <n v="13013.72"/>
    <s v="High Income"/>
    <s v="Employed"/>
    <s v="With Loan"/>
    <s v="Low-Risk"/>
  </r>
  <r>
    <s v="T000956"/>
    <s v="C7490"/>
    <s v="AC90256454"/>
    <x v="373"/>
    <x v="17"/>
    <x v="4"/>
    <x v="0"/>
    <n v="5578.45"/>
    <x v="0"/>
    <n v="26070.29"/>
    <s v="Medium"/>
    <x v="3"/>
    <n v="28"/>
    <x v="0"/>
    <s v="Female"/>
    <s v="Savings"/>
    <x v="586"/>
    <s v="EUR"/>
    <x v="0"/>
    <n v="2.6700000000000002E-2"/>
    <n v="2.67"/>
    <s v="low"/>
    <n v="27066.11"/>
    <n v="722.66513700000007"/>
    <n v="24"/>
    <n v="532"/>
    <x v="0"/>
    <n v="1"/>
    <s v="Default"/>
    <n v="1"/>
    <n v="8395.2199999999993"/>
    <s v="High Income"/>
    <s v="Employed"/>
    <s v="With Loan"/>
    <s v="Low-Risk"/>
  </r>
  <r>
    <s v="T000957"/>
    <s v="C4600"/>
    <s v="AC76346143"/>
    <x v="316"/>
    <x v="1"/>
    <x v="0"/>
    <x v="2"/>
    <n v="6452.16"/>
    <x v="1"/>
    <n v="3989.35"/>
    <s v="Low"/>
    <x v="1"/>
    <n v="23"/>
    <x v="4"/>
    <s v="Female"/>
    <s v="Savings"/>
    <x v="587"/>
    <s v="GBP"/>
    <x v="0"/>
    <n v="2.8000000000000001E-2"/>
    <n v="2.8000000000000001E-2"/>
    <s v="low"/>
    <n v="39773.49"/>
    <n v="1113.6577199999999"/>
    <n v="13"/>
    <n v="773"/>
    <x v="4"/>
    <n v="1"/>
    <s v="Default"/>
    <n v="4"/>
    <n v="12692.97"/>
    <s v="High Income"/>
    <s v="Employed"/>
    <s v="With Loan"/>
    <s v="Low-Risk"/>
  </r>
  <r>
    <s v="T000958"/>
    <s v="C7783"/>
    <s v="AC65666186"/>
    <x v="479"/>
    <x v="9"/>
    <x v="8"/>
    <x v="3"/>
    <n v="7067.54"/>
    <x v="1"/>
    <n v="15103.73"/>
    <s v="Medium"/>
    <x v="4"/>
    <n v="40"/>
    <x v="1"/>
    <s v="Female"/>
    <s v="Checking"/>
    <x v="588"/>
    <s v="GBP"/>
    <x v="0"/>
    <n v="4.3099999999999999E-2"/>
    <n v="4.3099999999999996"/>
    <s v="high"/>
    <n v="12577.34"/>
    <n v="542.08335399999999"/>
    <n v="13"/>
    <n v="704"/>
    <x v="3"/>
    <n v="1"/>
    <s v="Default"/>
    <n v="3"/>
    <n v="7278.16"/>
    <s v="High Income"/>
    <s v="Employed"/>
    <s v="With Loan"/>
    <s v="Low-Risk"/>
  </r>
  <r>
    <s v="T000959"/>
    <s v="C5971"/>
    <s v="AC66681097"/>
    <x v="480"/>
    <x v="2"/>
    <x v="7"/>
    <x v="2"/>
    <n v="3795.27"/>
    <x v="1"/>
    <n v="5570.3"/>
    <s v="Low"/>
    <x v="1"/>
    <n v="44"/>
    <x v="1"/>
    <s v="Female"/>
    <s v="Checking"/>
    <x v="359"/>
    <s v="USD"/>
    <x v="1"/>
    <n v="1.3899999999999999E-2"/>
    <n v="1.39"/>
    <s v="low"/>
    <n v="39537.31"/>
    <n v="549.56860899999992"/>
    <n v="20"/>
    <n v="570"/>
    <x v="0"/>
    <n v="0"/>
    <s v="Good"/>
    <n v="1"/>
    <n v="14800.91"/>
    <s v="High Income"/>
    <s v="Self-employed"/>
    <s v="With Loan"/>
    <s v="High-Risk"/>
  </r>
  <r>
    <s v="T000960"/>
    <s v="C2205"/>
    <s v="AC39565896"/>
    <x v="145"/>
    <x v="14"/>
    <x v="6"/>
    <x v="1"/>
    <n v="5680.23"/>
    <x v="0"/>
    <n v="48227.33"/>
    <s v="Medium"/>
    <x v="3"/>
    <n v="63"/>
    <x v="3"/>
    <s v="Female"/>
    <s v="Checking"/>
    <x v="414"/>
    <s v="EUR"/>
    <x v="2"/>
    <n v="3.8199999999999998E-2"/>
    <n v="3.82"/>
    <s v="low"/>
    <n v="38725.11"/>
    <n v="1479.2992019999999"/>
    <n v="11"/>
    <n v="433"/>
    <x v="0"/>
    <n v="2"/>
    <s v="Good"/>
    <n v="1"/>
    <n v="12016.36"/>
    <s v="High Income"/>
    <s v="Self-employed"/>
    <s v="With Loan"/>
    <s v="High-Risk"/>
  </r>
  <r>
    <s v="T000961"/>
    <s v="C2990"/>
    <s v="AC78315725"/>
    <x v="413"/>
    <x v="4"/>
    <x v="1"/>
    <x v="2"/>
    <n v="4561.8"/>
    <x v="1"/>
    <n v="7618.93"/>
    <s v="Low"/>
    <x v="1"/>
    <n v="23"/>
    <x v="4"/>
    <s v="Female"/>
    <s v="Checking"/>
    <x v="233"/>
    <s v="USD"/>
    <x v="1"/>
    <n v="2.35E-2"/>
    <n v="2.35"/>
    <s v="low"/>
    <n v="26681.654999999999"/>
    <n v="627.01889249999999"/>
    <n v="5"/>
    <n v="470"/>
    <x v="0"/>
    <n v="0"/>
    <s v="Good"/>
    <n v="1"/>
    <n v="14557.35"/>
    <s v="High Income"/>
    <s v="Unemployed"/>
    <s v="Without Loan"/>
    <s v="Low-Risk"/>
  </r>
  <r>
    <s v="T000962"/>
    <s v="C6299"/>
    <s v="AC40131276"/>
    <x v="481"/>
    <x v="14"/>
    <x v="1"/>
    <x v="2"/>
    <n v="6753.35"/>
    <x v="1"/>
    <n v="8437"/>
    <s v="Low"/>
    <x v="3"/>
    <n v="55"/>
    <x v="2"/>
    <s v="Female"/>
    <s v="Checking"/>
    <x v="7"/>
    <s v="GBP"/>
    <x v="1"/>
    <n v="2.24E-2"/>
    <n v="2.2400000000000002"/>
    <s v="low"/>
    <n v="26681.654999999999"/>
    <n v="597.66907199999991"/>
    <n v="13"/>
    <n v="714"/>
    <x v="3"/>
    <n v="0"/>
    <s v="Good"/>
    <n v="3"/>
    <n v="8686.24"/>
    <s v="High Income"/>
    <s v="Unemployed"/>
    <s v="Without Loan"/>
    <s v="Low-Risk"/>
  </r>
  <r>
    <s v="T000963"/>
    <s v="C4572"/>
    <s v="AC13119612"/>
    <x v="246"/>
    <x v="18"/>
    <x v="6"/>
    <x v="3"/>
    <n v="5877.21"/>
    <x v="0"/>
    <n v="44589.25"/>
    <s v="Medium"/>
    <x v="3"/>
    <n v="19"/>
    <x v="4"/>
    <s v="Female"/>
    <s v="Savings"/>
    <x v="589"/>
    <s v="USD"/>
    <x v="0"/>
    <n v="4.7300000000000002E-2"/>
    <n v="4.7300000000000004"/>
    <s v="high"/>
    <n v="26681.654999999999"/>
    <n v="1262.0422814999999"/>
    <n v="21"/>
    <n v="327"/>
    <x v="0"/>
    <n v="1"/>
    <s v="Default"/>
    <n v="1"/>
    <n v="8157.98"/>
    <s v="High Income"/>
    <s v="Employed"/>
    <s v="Without Loan"/>
    <s v="Low-Risk"/>
  </r>
  <r>
    <s v="T000964"/>
    <s v="C6975"/>
    <s v="AC82045464"/>
    <x v="331"/>
    <x v="20"/>
    <x v="6"/>
    <x v="2"/>
    <n v="5304.99"/>
    <x v="0"/>
    <n v="47252.49"/>
    <s v="Medium"/>
    <x v="1"/>
    <n v="39"/>
    <x v="1"/>
    <s v="Female"/>
    <s v="Savings"/>
    <x v="577"/>
    <s v="GBP"/>
    <x v="0"/>
    <n v="1.9900000000000001E-2"/>
    <n v="1.99"/>
    <s v="low"/>
    <n v="26681.654999999999"/>
    <n v="530.96493450000003"/>
    <n v="24"/>
    <n v="435"/>
    <x v="0"/>
    <n v="1"/>
    <s v="Default"/>
    <n v="1"/>
    <n v="11820.9"/>
    <s v="High Income"/>
    <s v="Self-employed"/>
    <s v="Without Loan"/>
    <s v="Low-Risk"/>
  </r>
  <r>
    <s v="T000965"/>
    <s v="C7320"/>
    <s v="AC91756929"/>
    <x v="204"/>
    <x v="16"/>
    <x v="1"/>
    <x v="2"/>
    <n v="2570.29"/>
    <x v="0"/>
    <n v="38525.620000000003"/>
    <s v="Medium"/>
    <x v="3"/>
    <n v="37"/>
    <x v="1"/>
    <s v="Male"/>
    <s v="Credit"/>
    <x v="300"/>
    <s v="EUR"/>
    <x v="1"/>
    <n v="3.5700000000000003E-2"/>
    <n v="3.57"/>
    <s v="low"/>
    <n v="26681.654999999999"/>
    <n v="952.53508350000004"/>
    <n v="13"/>
    <n v="704"/>
    <x v="3"/>
    <n v="0"/>
    <s v="Good"/>
    <n v="3"/>
    <n v="13443.79"/>
    <s v="High Income"/>
    <s v="Unemployed"/>
    <s v="Without Loan"/>
    <s v="Low-Risk"/>
  </r>
  <r>
    <s v="T000966"/>
    <s v="C5380"/>
    <s v="AC59133346"/>
    <x v="425"/>
    <x v="7"/>
    <x v="4"/>
    <x v="0"/>
    <n v="119.98"/>
    <x v="1"/>
    <n v="1264.8399999999999"/>
    <s v="Low"/>
    <x v="2"/>
    <n v="42"/>
    <x v="1"/>
    <s v="Male"/>
    <s v="Credit"/>
    <x v="34"/>
    <s v="USD"/>
    <x v="1"/>
    <n v="2.1000000000000001E-2"/>
    <n v="2.1000000000000001E-2"/>
    <s v="low"/>
    <n v="26681.654999999999"/>
    <n v="560.31475499999999"/>
    <n v="2"/>
    <n v="804"/>
    <x v="1"/>
    <n v="0"/>
    <s v="Good"/>
    <n v="5"/>
    <n v="14533.9"/>
    <s v="High Income"/>
    <s v="Unemployed"/>
    <s v="Without Loan"/>
    <s v="Low-Risk"/>
  </r>
  <r>
    <s v="T000967"/>
    <s v="C5757"/>
    <s v="AC24160134"/>
    <x v="482"/>
    <x v="24"/>
    <x v="9"/>
    <x v="0"/>
    <n v="1823.41"/>
    <x v="1"/>
    <n v="1065.97"/>
    <s v="Low"/>
    <x v="3"/>
    <n v="32"/>
    <x v="0"/>
    <s v="Female"/>
    <s v="Credit"/>
    <x v="590"/>
    <s v="GBP"/>
    <x v="2"/>
    <n v="3.0300000000000001E-2"/>
    <n v="3.03"/>
    <s v="low"/>
    <n v="16365.25"/>
    <n v="495.867075"/>
    <n v="13"/>
    <n v="540"/>
    <x v="0"/>
    <n v="2"/>
    <s v="Good"/>
    <n v="1"/>
    <n v="6219.17"/>
    <s v="High Income"/>
    <s v="Unemployed"/>
    <s v="With Loan"/>
    <s v="Low-Risk"/>
  </r>
  <r>
    <s v="T000968"/>
    <s v="C3713"/>
    <s v="AC42833108"/>
    <x v="483"/>
    <x v="23"/>
    <x v="11"/>
    <x v="1"/>
    <n v="1258.95"/>
    <x v="1"/>
    <n v="19526.939999999999"/>
    <s v="Medium"/>
    <x v="0"/>
    <n v="66"/>
    <x v="3"/>
    <s v="Male"/>
    <s v="Credit"/>
    <x v="591"/>
    <s v="GBP"/>
    <x v="2"/>
    <n v="4.1500000000000002E-2"/>
    <n v="4.1500000000000004"/>
    <s v="high"/>
    <n v="21752.58"/>
    <n v="902.73207000000014"/>
    <n v="4"/>
    <n v="743"/>
    <x v="4"/>
    <n v="2"/>
    <s v="Good"/>
    <n v="4"/>
    <n v="12383.16"/>
    <s v="High Income"/>
    <s v="Unemployed"/>
    <s v="With Loan"/>
    <s v="Low-Risk"/>
  </r>
  <r>
    <s v="T000969"/>
    <s v="C6588"/>
    <s v="AC94143761"/>
    <x v="442"/>
    <x v="12"/>
    <x v="5"/>
    <x v="0"/>
    <n v="4545.9399999999996"/>
    <x v="1"/>
    <n v="8026.37"/>
    <s v="Low"/>
    <x v="3"/>
    <n v="46"/>
    <x v="2"/>
    <s v="Male"/>
    <s v="Savings"/>
    <x v="18"/>
    <s v="GBP"/>
    <x v="0"/>
    <n v="4.53E-2"/>
    <n v="4.53"/>
    <s v="high"/>
    <n v="9866.7800000000007"/>
    <n v="446.96513400000003"/>
    <n v="13"/>
    <n v="733"/>
    <x v="3"/>
    <n v="1"/>
    <s v="Default"/>
    <n v="3"/>
    <n v="4738.3900000000003"/>
    <s v="Middle Income"/>
    <s v="Employed"/>
    <s v="With Loan"/>
    <s v="Low-Risk"/>
  </r>
  <r>
    <s v="T000970"/>
    <s v="C1966"/>
    <s v="AC32406697"/>
    <x v="296"/>
    <x v="23"/>
    <x v="8"/>
    <x v="0"/>
    <n v="6161.36"/>
    <x v="1"/>
    <n v="1900.92"/>
    <s v="Low"/>
    <x v="0"/>
    <n v="25"/>
    <x v="4"/>
    <s v="Female"/>
    <s v="Savings"/>
    <x v="451"/>
    <s v="GBP"/>
    <x v="2"/>
    <n v="4.3499999999999997E-2"/>
    <n v="4.3499999999999996"/>
    <s v="high"/>
    <n v="26681.654999999999"/>
    <n v="1160.6519924999998"/>
    <n v="10"/>
    <n v="527"/>
    <x v="0"/>
    <n v="2"/>
    <s v="Good"/>
    <n v="1"/>
    <n v="9092.4699999999993"/>
    <s v="High Income"/>
    <s v="Self-employed"/>
    <s v="Without Loan"/>
    <s v="Low-Risk"/>
  </r>
  <r>
    <s v="T000971"/>
    <s v="C5944"/>
    <s v="AC45609212"/>
    <x v="44"/>
    <x v="22"/>
    <x v="0"/>
    <x v="0"/>
    <n v="2209.54"/>
    <x v="0"/>
    <n v="23739.27"/>
    <s v="Medium"/>
    <x v="3"/>
    <n v="54"/>
    <x v="2"/>
    <s v="Female"/>
    <s v="Savings"/>
    <x v="592"/>
    <s v="USD"/>
    <x v="2"/>
    <n v="3.3300000000000003E-2"/>
    <n v="3.33"/>
    <s v="low"/>
    <n v="26681.654999999999"/>
    <n v="888.49911150000003"/>
    <n v="2"/>
    <n v="808"/>
    <x v="1"/>
    <n v="2"/>
    <s v="Good"/>
    <n v="5"/>
    <n v="4338.03"/>
    <s v="Middle Income"/>
    <s v="Employed"/>
    <s v="Without Loan"/>
    <s v="Low-Risk"/>
  </r>
  <r>
    <s v="T000972"/>
    <s v="C4432"/>
    <s v="AC34768424"/>
    <x v="123"/>
    <x v="23"/>
    <x v="4"/>
    <x v="0"/>
    <n v="9396.67"/>
    <x v="0"/>
    <n v="47210.03"/>
    <s v="Medium"/>
    <x v="3"/>
    <n v="66"/>
    <x v="3"/>
    <s v="Female"/>
    <s v="Checking"/>
    <x v="130"/>
    <s v="GBP"/>
    <x v="0"/>
    <n v="0.02"/>
    <n v="0.02"/>
    <s v="low"/>
    <n v="37430.050000000003"/>
    <n v="748.60100000000011"/>
    <n v="13"/>
    <n v="602"/>
    <x v="2"/>
    <n v="1"/>
    <s v="Default"/>
    <n v="2"/>
    <n v="6516.17"/>
    <s v="High Income"/>
    <s v="Unemployed"/>
    <s v="With Loan"/>
    <s v="Low-Risk"/>
  </r>
  <r>
    <s v="T000973"/>
    <s v="C1688"/>
    <s v="AC31200624"/>
    <x v="94"/>
    <x v="7"/>
    <x v="0"/>
    <x v="3"/>
    <n v="166.15"/>
    <x v="1"/>
    <n v="16867.16"/>
    <s v="Medium"/>
    <x v="1"/>
    <n v="69"/>
    <x v="3"/>
    <s v="Female"/>
    <s v="Checking"/>
    <x v="526"/>
    <s v="USD"/>
    <x v="2"/>
    <n v="3.6400000000000002E-2"/>
    <n v="3.64"/>
    <s v="low"/>
    <n v="7184.77"/>
    <n v="261.52562800000004"/>
    <n v="13"/>
    <n v="333"/>
    <x v="0"/>
    <n v="2"/>
    <s v="Good"/>
    <n v="1"/>
    <n v="14107.66"/>
    <s v="High Income"/>
    <s v="Unemployed"/>
    <s v="With Loan"/>
    <s v="Low-Risk"/>
  </r>
  <r>
    <s v="T000974"/>
    <s v="C5243"/>
    <s v="AC77951050"/>
    <x v="484"/>
    <x v="5"/>
    <x v="9"/>
    <x v="0"/>
    <n v="7745.78"/>
    <x v="0"/>
    <n v="33395.89"/>
    <s v="Medium"/>
    <x v="2"/>
    <n v="50"/>
    <x v="2"/>
    <s v="Female"/>
    <s v="Credit"/>
    <x v="312"/>
    <s v="GBP"/>
    <x v="1"/>
    <n v="3.8399999999999997E-2"/>
    <n v="3.84"/>
    <s v="low"/>
    <n v="34303.65"/>
    <n v="1317.26016"/>
    <n v="13"/>
    <n v="301"/>
    <x v="0"/>
    <n v="0"/>
    <s v="Good"/>
    <n v="1"/>
    <n v="3899.18"/>
    <s v="Middle Income"/>
    <s v="Self-employed"/>
    <s v="With Loan"/>
    <s v="High-Risk"/>
  </r>
  <r>
    <s v="T000975"/>
    <s v="C4701"/>
    <s v="AC24578363"/>
    <x v="485"/>
    <x v="19"/>
    <x v="9"/>
    <x v="3"/>
    <n v="6289.53"/>
    <x v="0"/>
    <n v="32959.53"/>
    <s v="Medium"/>
    <x v="2"/>
    <n v="39"/>
    <x v="1"/>
    <s v="Female"/>
    <s v="Checking"/>
    <x v="370"/>
    <s v="USD"/>
    <x v="2"/>
    <n v="1.04E-2"/>
    <n v="1.04"/>
    <s v="low"/>
    <n v="14963.45"/>
    <n v="155.61987999999999"/>
    <n v="13"/>
    <n v="661"/>
    <x v="2"/>
    <n v="2"/>
    <s v="Good"/>
    <n v="2"/>
    <n v="10221.209999999999"/>
    <s v="High Income"/>
    <s v="Self-employed"/>
    <s v="With Loan"/>
    <s v="Low-Risk"/>
  </r>
  <r>
    <s v="T000976"/>
    <s v="C9533"/>
    <s v="AC36659117"/>
    <x v="0"/>
    <x v="0"/>
    <x v="0"/>
    <x v="3"/>
    <n v="3798.19"/>
    <x v="1"/>
    <n v="13302.93"/>
    <s v="Medium"/>
    <x v="4"/>
    <n v="67"/>
    <x v="3"/>
    <s v="Male"/>
    <s v="Savings"/>
    <x v="575"/>
    <s v="USD"/>
    <x v="0"/>
    <n v="2.76E-2"/>
    <n v="2.76"/>
    <s v="low"/>
    <n v="8683.77"/>
    <n v="239.67205200000001"/>
    <n v="13"/>
    <n v="494"/>
    <x v="0"/>
    <n v="1"/>
    <s v="Default"/>
    <n v="1"/>
    <n v="9708.41"/>
    <s v="High Income"/>
    <s v="Employed"/>
    <s v="With Loan"/>
    <s v="Low-Risk"/>
  </r>
  <r>
    <s v="T000977"/>
    <s v="C6182"/>
    <s v="AC54494354"/>
    <x v="101"/>
    <x v="30"/>
    <x v="7"/>
    <x v="0"/>
    <n v="599.84"/>
    <x v="0"/>
    <n v="32870.839999999997"/>
    <s v="Medium"/>
    <x v="1"/>
    <n v="64"/>
    <x v="3"/>
    <s v="Female"/>
    <s v="Credit"/>
    <x v="127"/>
    <s v="GBP"/>
    <x v="1"/>
    <n v="4.3700000000000003E-2"/>
    <n v="4.37"/>
    <s v="high"/>
    <n v="26681.654999999999"/>
    <n v="1165.9883235"/>
    <n v="27"/>
    <n v="607"/>
    <x v="2"/>
    <n v="0"/>
    <s v="Good"/>
    <n v="2"/>
    <n v="3569.6"/>
    <s v="Middle Income"/>
    <s v="Self-employed"/>
    <s v="Without Loan"/>
    <s v="Low-Risk"/>
  </r>
  <r>
    <s v="T000978"/>
    <s v="C7704"/>
    <s v="AC50670787"/>
    <x v="60"/>
    <x v="8"/>
    <x v="3"/>
    <x v="2"/>
    <n v="6312.12"/>
    <x v="1"/>
    <n v="11404.36"/>
    <s v="Medium"/>
    <x v="1"/>
    <n v="22"/>
    <x v="4"/>
    <s v="Male"/>
    <s v="Credit"/>
    <x v="518"/>
    <s v="GBP"/>
    <x v="2"/>
    <n v="2.9600000000000001E-2"/>
    <n v="2.96"/>
    <s v="low"/>
    <n v="26681.654999999999"/>
    <n v="789.77698799999996"/>
    <n v="13"/>
    <n v="549"/>
    <x v="0"/>
    <n v="2"/>
    <s v="Good"/>
    <n v="1"/>
    <n v="6237.73"/>
    <s v="High Income"/>
    <s v="Employed"/>
    <s v="Without Loan"/>
    <s v="Low-Risk"/>
  </r>
  <r>
    <s v="T000979"/>
    <s v="C5422"/>
    <s v="AC34003801"/>
    <x v="486"/>
    <x v="29"/>
    <x v="9"/>
    <x v="3"/>
    <n v="3917.57"/>
    <x v="1"/>
    <n v="6978.36"/>
    <s v="Low"/>
    <x v="2"/>
    <n v="56"/>
    <x v="2"/>
    <s v="Female"/>
    <s v="Checking"/>
    <x v="192"/>
    <s v="GBP"/>
    <x v="1"/>
    <n v="2.2499999999999999E-2"/>
    <n v="2.25"/>
    <s v="low"/>
    <n v="26681.654999999999"/>
    <n v="600.3372374999999"/>
    <n v="13"/>
    <n v="446"/>
    <x v="0"/>
    <n v="0"/>
    <s v="Good"/>
    <n v="1"/>
    <n v="9318.76"/>
    <s v="High Income"/>
    <s v="Employed"/>
    <s v="Without Loan"/>
    <s v="Low-Risk"/>
  </r>
  <r>
    <s v="T000980"/>
    <s v="C2759"/>
    <s v="AC78233769"/>
    <x v="128"/>
    <x v="15"/>
    <x v="4"/>
    <x v="2"/>
    <n v="9369.0400000000009"/>
    <x v="0"/>
    <n v="35367.78"/>
    <s v="Medium"/>
    <x v="1"/>
    <n v="35"/>
    <x v="0"/>
    <s v="Female"/>
    <s v="Credit"/>
    <x v="210"/>
    <s v="GBP"/>
    <x v="1"/>
    <n v="4.4900000000000002E-2"/>
    <n v="4.49"/>
    <s v="high"/>
    <n v="21081.94"/>
    <n v="946.57910600000002"/>
    <n v="13"/>
    <n v="645"/>
    <x v="2"/>
    <n v="0"/>
    <s v="Good"/>
    <n v="2"/>
    <n v="4433.32"/>
    <s v="Middle Income"/>
    <s v="Unemployed"/>
    <s v="With Loan"/>
    <s v="Low-Risk"/>
  </r>
  <r>
    <s v="T000981"/>
    <s v="C3482"/>
    <s v="AC82668141"/>
    <x v="371"/>
    <x v="6"/>
    <x v="9"/>
    <x v="2"/>
    <n v="5465.7"/>
    <x v="1"/>
    <n v="6558.6"/>
    <s v="Low"/>
    <x v="2"/>
    <n v="55"/>
    <x v="2"/>
    <s v="Male"/>
    <s v="Checking"/>
    <x v="593"/>
    <s v="EUR"/>
    <x v="2"/>
    <n v="1.6199999999999999E-2"/>
    <n v="1.62"/>
    <s v="low"/>
    <n v="26681.654999999999"/>
    <n v="432.24281099999996"/>
    <n v="13"/>
    <n v="647"/>
    <x v="2"/>
    <n v="2"/>
    <s v="Good"/>
    <n v="2"/>
    <n v="12408.11"/>
    <s v="High Income"/>
    <s v="Employed"/>
    <s v="Without Loan"/>
    <s v="Low-Risk"/>
  </r>
  <r>
    <s v="T000982"/>
    <s v="C9058"/>
    <s v="AC73975459"/>
    <x v="93"/>
    <x v="26"/>
    <x v="11"/>
    <x v="0"/>
    <n v="9402.5499999999993"/>
    <x v="0"/>
    <n v="49848.55"/>
    <s v="Medium"/>
    <x v="1"/>
    <n v="54"/>
    <x v="2"/>
    <s v="Female"/>
    <s v="Checking"/>
    <x v="460"/>
    <s v="GBP"/>
    <x v="2"/>
    <n v="1.83E-2"/>
    <n v="1.83"/>
    <s v="low"/>
    <n v="48359.73"/>
    <n v="884.98305900000003"/>
    <n v="2"/>
    <n v="553"/>
    <x v="0"/>
    <n v="2"/>
    <s v="Good"/>
    <n v="1"/>
    <n v="14638.03"/>
    <s v="High Income"/>
    <s v="Unemployed"/>
    <s v="With Loan"/>
    <s v="High-Risk"/>
  </r>
  <r>
    <s v="T000983"/>
    <s v="C1951"/>
    <s v="AC97144164"/>
    <x v="123"/>
    <x v="23"/>
    <x v="4"/>
    <x v="1"/>
    <n v="2282.79"/>
    <x v="1"/>
    <n v="9989.17"/>
    <s v="Low"/>
    <x v="3"/>
    <n v="47"/>
    <x v="2"/>
    <s v="Female"/>
    <s v="Credit"/>
    <x v="480"/>
    <s v="GBP"/>
    <x v="0"/>
    <n v="3.7499999999999999E-2"/>
    <n v="3.75"/>
    <s v="low"/>
    <n v="26681.654999999999"/>
    <n v="1000.5620624999999"/>
    <n v="3"/>
    <n v="698"/>
    <x v="3"/>
    <n v="1"/>
    <s v="Default"/>
    <n v="3"/>
    <n v="4791.87"/>
    <s v="Middle Income"/>
    <s v="Employed"/>
    <s v="Without Loan"/>
    <s v="Low-Risk"/>
  </r>
  <r>
    <s v="T000984"/>
    <s v="C9914"/>
    <s v="AC92424160"/>
    <x v="487"/>
    <x v="16"/>
    <x v="8"/>
    <x v="0"/>
    <n v="7284.69"/>
    <x v="0"/>
    <n v="30112.95"/>
    <s v="Medium"/>
    <x v="2"/>
    <n v="68"/>
    <x v="3"/>
    <s v="Male"/>
    <s v="Checking"/>
    <x v="40"/>
    <s v="GBP"/>
    <x v="0"/>
    <n v="2.41E-2"/>
    <n v="2.41"/>
    <s v="low"/>
    <n v="40778.94"/>
    <n v="982.77245400000004"/>
    <n v="9"/>
    <n v="633"/>
    <x v="2"/>
    <n v="1"/>
    <s v="Default"/>
    <n v="2"/>
    <n v="4429.8599999999997"/>
    <s v="Middle Income"/>
    <s v="Employed"/>
    <s v="With Loan"/>
    <s v="Low-Risk"/>
  </r>
  <r>
    <s v="T000985"/>
    <s v="C3079"/>
    <s v="AC18593059"/>
    <x v="128"/>
    <x v="15"/>
    <x v="4"/>
    <x v="1"/>
    <n v="6210.77"/>
    <x v="0"/>
    <n v="21157.35"/>
    <s v="Medium"/>
    <x v="2"/>
    <n v="48"/>
    <x v="2"/>
    <s v="Female"/>
    <s v="Checking"/>
    <x v="36"/>
    <s v="USD"/>
    <x v="1"/>
    <n v="3.85E-2"/>
    <n v="3.85"/>
    <s v="low"/>
    <n v="5597.08"/>
    <n v="215.48758000000001"/>
    <n v="5"/>
    <n v="475"/>
    <x v="0"/>
    <n v="0"/>
    <s v="Good"/>
    <n v="1"/>
    <n v="7914.16"/>
    <s v="High Income"/>
    <s v="Self-employed"/>
    <s v="With Loan"/>
    <s v="Low-Risk"/>
  </r>
  <r>
    <s v="T000986"/>
    <s v="C3717"/>
    <s v="AC28757506"/>
    <x v="488"/>
    <x v="9"/>
    <x v="3"/>
    <x v="1"/>
    <n v="7420.14"/>
    <x v="1"/>
    <n v="7192.93"/>
    <s v="Low"/>
    <x v="0"/>
    <n v="27"/>
    <x v="0"/>
    <s v="Male"/>
    <s v="Checking"/>
    <x v="594"/>
    <s v="GBP"/>
    <x v="0"/>
    <n v="1.6299999999999999E-2"/>
    <n v="1.63"/>
    <s v="low"/>
    <n v="26681.654999999999"/>
    <n v="434.91097649999995"/>
    <n v="10"/>
    <n v="424"/>
    <x v="0"/>
    <n v="1"/>
    <s v="Default"/>
    <n v="1"/>
    <n v="11720.95"/>
    <s v="High Income"/>
    <s v="Self-employed"/>
    <s v="Without Loan"/>
    <s v="Low-Risk"/>
  </r>
  <r>
    <s v="T000987"/>
    <s v="C5524"/>
    <s v="AC56692999"/>
    <x v="86"/>
    <x v="1"/>
    <x v="10"/>
    <x v="0"/>
    <n v="2225.21"/>
    <x v="1"/>
    <n v="2364.35"/>
    <s v="Low"/>
    <x v="1"/>
    <n v="32"/>
    <x v="0"/>
    <s v="Female"/>
    <s v="Checking"/>
    <x v="84"/>
    <s v="USD"/>
    <x v="1"/>
    <n v="2.01E-2"/>
    <n v="2.0099999999999998"/>
    <s v="low"/>
    <n v="26681.654999999999"/>
    <n v="536.3012655"/>
    <n v="13"/>
    <n v="697"/>
    <x v="3"/>
    <n v="0"/>
    <s v="Good"/>
    <n v="3"/>
    <n v="5660.81"/>
    <s v="High Income"/>
    <s v="Unemployed"/>
    <s v="Without Loan"/>
    <s v="Low-Risk"/>
  </r>
  <r>
    <s v="T000988"/>
    <s v="C9477"/>
    <s v="AC43957754"/>
    <x v="489"/>
    <x v="25"/>
    <x v="1"/>
    <x v="0"/>
    <n v="6683.45"/>
    <x v="0"/>
    <n v="31513.88"/>
    <s v="Medium"/>
    <x v="1"/>
    <n v="59"/>
    <x v="2"/>
    <s v="Female"/>
    <s v="Credit"/>
    <x v="74"/>
    <s v="USD"/>
    <x v="1"/>
    <n v="1.6299999999999999E-2"/>
    <n v="1.63"/>
    <s v="low"/>
    <n v="26681.654999999999"/>
    <n v="434.91097649999995"/>
    <n v="12"/>
    <n v="430"/>
    <x v="0"/>
    <n v="0"/>
    <s v="Good"/>
    <n v="1"/>
    <n v="2258.44"/>
    <s v="Low Income"/>
    <s v="Self-employed"/>
    <s v="Without Loan"/>
    <s v="Low-Risk"/>
  </r>
  <r>
    <s v="T000989"/>
    <s v="C8311"/>
    <s v="AC58302504"/>
    <x v="179"/>
    <x v="4"/>
    <x v="6"/>
    <x v="1"/>
    <n v="5030.6000000000004"/>
    <x v="0"/>
    <n v="40531.120000000003"/>
    <s v="Medium"/>
    <x v="2"/>
    <n v="65"/>
    <x v="3"/>
    <s v="Male"/>
    <s v="Savings"/>
    <x v="38"/>
    <s v="USD"/>
    <x v="0"/>
    <n v="4.8099999999999997E-2"/>
    <n v="4.8099999999999996"/>
    <s v="high"/>
    <n v="26681.654999999999"/>
    <n v="1283.3876054999998"/>
    <n v="18"/>
    <n v="706"/>
    <x v="3"/>
    <n v="1"/>
    <s v="Default"/>
    <n v="3"/>
    <n v="9035.8700000000008"/>
    <s v="High Income"/>
    <s v="Employed"/>
    <s v="Without Loan"/>
    <s v="Low-Risk"/>
  </r>
  <r>
    <s v="T000990"/>
    <s v="C8186"/>
    <s v="AC39737667"/>
    <x v="21"/>
    <x v="14"/>
    <x v="3"/>
    <x v="0"/>
    <n v="7453.97"/>
    <x v="0"/>
    <n v="42258.77"/>
    <s v="Medium"/>
    <x v="3"/>
    <n v="61"/>
    <x v="3"/>
    <s v="Female"/>
    <s v="Savings"/>
    <x v="559"/>
    <s v="USD"/>
    <x v="0"/>
    <n v="2.6200000000000001E-2"/>
    <n v="2.62"/>
    <s v="low"/>
    <n v="26681.654999999999"/>
    <n v="699.05936099999997"/>
    <n v="13"/>
    <n v="633"/>
    <x v="2"/>
    <n v="1"/>
    <s v="Default"/>
    <n v="2"/>
    <n v="14435.81"/>
    <s v="High Income"/>
    <s v="Unemployed"/>
    <s v="Without Loan"/>
    <s v="Low-Risk"/>
  </r>
  <r>
    <s v="T000991"/>
    <s v="C3065"/>
    <s v="AC31088012"/>
    <x v="288"/>
    <x v="12"/>
    <x v="11"/>
    <x v="1"/>
    <n v="3337.74"/>
    <x v="0"/>
    <n v="24652.959999999999"/>
    <s v="Medium"/>
    <x v="3"/>
    <n v="35"/>
    <x v="0"/>
    <s v="Male"/>
    <s v="Checking"/>
    <x v="595"/>
    <s v="EUR"/>
    <x v="0"/>
    <n v="2.35E-2"/>
    <n v="2.35"/>
    <s v="low"/>
    <n v="24883.16"/>
    <n v="584.75426000000004"/>
    <n v="13"/>
    <n v="319"/>
    <x v="0"/>
    <n v="1"/>
    <s v="Default"/>
    <n v="1"/>
    <n v="7086.6"/>
    <s v="High Income"/>
    <s v="Unemployed"/>
    <s v="With Loan"/>
    <s v="Low-Risk"/>
  </r>
  <r>
    <s v="T000992"/>
    <s v="C1768"/>
    <s v="AC91861168"/>
    <x v="332"/>
    <x v="3"/>
    <x v="8"/>
    <x v="2"/>
    <n v="8911.56"/>
    <x v="0"/>
    <n v="39095.32"/>
    <s v="Medium"/>
    <x v="3"/>
    <n v="40"/>
    <x v="1"/>
    <s v="Male"/>
    <s v="Checking"/>
    <x v="596"/>
    <s v="GBP"/>
    <x v="2"/>
    <n v="1.06E-2"/>
    <n v="1.06"/>
    <s v="low"/>
    <n v="26681.654999999999"/>
    <n v="282.82554299999998"/>
    <n v="21"/>
    <n v="504"/>
    <x v="0"/>
    <n v="2"/>
    <s v="Good"/>
    <n v="1"/>
    <n v="7461.75"/>
    <s v="High Income"/>
    <s v="Unemployed"/>
    <s v="Without Loan"/>
    <s v="Low-Risk"/>
  </r>
  <r>
    <s v="T000993"/>
    <s v="C6490"/>
    <s v="AC93163963"/>
    <x v="250"/>
    <x v="17"/>
    <x v="9"/>
    <x v="0"/>
    <n v="934.58"/>
    <x v="0"/>
    <n v="33969.51"/>
    <s v="Medium"/>
    <x v="1"/>
    <n v="50"/>
    <x v="2"/>
    <s v="Male"/>
    <s v="Checking"/>
    <x v="178"/>
    <s v="USD"/>
    <x v="1"/>
    <n v="1.61E-2"/>
    <n v="1.61"/>
    <s v="low"/>
    <n v="26681.654999999999"/>
    <n v="429.57464549999997"/>
    <n v="1"/>
    <n v="654"/>
    <x v="2"/>
    <n v="0"/>
    <s v="Good"/>
    <n v="2"/>
    <n v="14595.72"/>
    <s v="High Income"/>
    <s v="Employed"/>
    <s v="Without Loan"/>
    <s v="Low-Risk"/>
  </r>
  <r>
    <s v="T000994"/>
    <s v="C7645"/>
    <s v="AC31958273"/>
    <x v="456"/>
    <x v="26"/>
    <x v="3"/>
    <x v="2"/>
    <n v="8091.17"/>
    <x v="0"/>
    <n v="36488.47"/>
    <s v="Medium"/>
    <x v="0"/>
    <n v="33"/>
    <x v="0"/>
    <s v="Female"/>
    <s v="Savings"/>
    <x v="202"/>
    <s v="GBP"/>
    <x v="1"/>
    <n v="2.6800000000000001E-2"/>
    <n v="2.68"/>
    <s v="low"/>
    <n v="24798.82"/>
    <n v="664.60837600000002"/>
    <n v="13"/>
    <n v="472"/>
    <x v="0"/>
    <n v="0"/>
    <s v="Good"/>
    <n v="1"/>
    <n v="11029.9"/>
    <s v="High Income"/>
    <s v="Self-employed"/>
    <s v="With Loan"/>
    <s v="Low-Risk"/>
  </r>
  <r>
    <s v="T000995"/>
    <s v="C6083"/>
    <s v="AC67349051"/>
    <x v="332"/>
    <x v="3"/>
    <x v="8"/>
    <x v="3"/>
    <n v="8627.06"/>
    <x v="0"/>
    <n v="25137.35"/>
    <s v="Medium"/>
    <x v="2"/>
    <n v="55"/>
    <x v="2"/>
    <s v="Female"/>
    <s v="Checking"/>
    <x v="597"/>
    <s v="USD"/>
    <x v="1"/>
    <n v="1.2699999999999999E-2"/>
    <n v="1.27"/>
    <s v="low"/>
    <n v="26681.654999999999"/>
    <n v="338.85701849999998"/>
    <n v="5"/>
    <n v="488"/>
    <x v="0"/>
    <n v="0"/>
    <s v="Good"/>
    <n v="1"/>
    <n v="11349.23"/>
    <s v="High Income"/>
    <s v="Unemployed"/>
    <s v="Without Loan"/>
    <s v="Low-Risk"/>
  </r>
  <r>
    <s v="T000996"/>
    <s v="C6232"/>
    <s v="AC92061828"/>
    <x v="63"/>
    <x v="27"/>
    <x v="6"/>
    <x v="2"/>
    <n v="8190.8"/>
    <x v="0"/>
    <n v="32037.18"/>
    <s v="Medium"/>
    <x v="4"/>
    <n v="52"/>
    <x v="2"/>
    <s v="Male"/>
    <s v="Credit"/>
    <x v="598"/>
    <s v="EUR"/>
    <x v="0"/>
    <n v="3.04E-2"/>
    <n v="3.04"/>
    <s v="low"/>
    <n v="39624.65"/>
    <n v="1204.5893599999999"/>
    <n v="13"/>
    <n v="301"/>
    <x v="0"/>
    <n v="1"/>
    <s v="Default"/>
    <n v="1"/>
    <n v="9315.1299999999992"/>
    <s v="High Income"/>
    <s v="Employed"/>
    <s v="With Loan"/>
    <s v="High-Risk"/>
  </r>
  <r>
    <s v="T000997"/>
    <s v="C6797"/>
    <s v="AC41918507"/>
    <x v="328"/>
    <x v="18"/>
    <x v="0"/>
    <x v="2"/>
    <n v="5175.99"/>
    <x v="0"/>
    <n v="40470.769999999997"/>
    <s v="Medium"/>
    <x v="0"/>
    <n v="51"/>
    <x v="2"/>
    <s v="Female"/>
    <s v="Credit"/>
    <x v="599"/>
    <s v="USD"/>
    <x v="0"/>
    <n v="2.8199999999999999E-2"/>
    <n v="2.82"/>
    <s v="low"/>
    <n v="26681.654999999999"/>
    <n v="752.42267099999992"/>
    <n v="13"/>
    <n v="467"/>
    <x v="0"/>
    <n v="1"/>
    <s v="Default"/>
    <n v="1"/>
    <n v="14669.92"/>
    <s v="High Income"/>
    <s v="Self-employed"/>
    <s v="Without Loan"/>
    <s v="Low-Risk"/>
  </r>
  <r>
    <s v="T000998"/>
    <s v="C5926"/>
    <s v="AC74261658"/>
    <x v="191"/>
    <x v="1"/>
    <x v="9"/>
    <x v="1"/>
    <n v="4440.01"/>
    <x v="0"/>
    <n v="20496.32"/>
    <s v="Medium"/>
    <x v="4"/>
    <n v="45"/>
    <x v="1"/>
    <s v="Female"/>
    <s v="Credit"/>
    <x v="446"/>
    <s v="GBP"/>
    <x v="0"/>
    <n v="4.07E-2"/>
    <n v="4.07"/>
    <s v="high"/>
    <n v="26681.654999999999"/>
    <n v="1085.9433584999999"/>
    <n v="17"/>
    <n v="667"/>
    <x v="2"/>
    <n v="1"/>
    <s v="Default"/>
    <n v="2"/>
    <n v="10955.26"/>
    <s v="High Income"/>
    <s v="Self-employed"/>
    <s v="Without Loan"/>
    <s v="Low-Risk"/>
  </r>
  <r>
    <s v="T000999"/>
    <s v="C7016"/>
    <s v="AC75147039"/>
    <x v="284"/>
    <x v="9"/>
    <x v="8"/>
    <x v="2"/>
    <n v="9963"/>
    <x v="0"/>
    <n v="40492.97"/>
    <s v="Medium"/>
    <x v="0"/>
    <n v="19"/>
    <x v="4"/>
    <s v="Female"/>
    <s v="Savings"/>
    <x v="600"/>
    <s v="GBP"/>
    <x v="0"/>
    <n v="3.6400000000000002E-2"/>
    <n v="3.64"/>
    <s v="low"/>
    <n v="35988.230000000003"/>
    <n v="1309.9715720000002"/>
    <n v="8"/>
    <n v="835"/>
    <x v="1"/>
    <n v="1"/>
    <s v="Default"/>
    <n v="5"/>
    <n v="13635.43"/>
    <s v="High Income"/>
    <s v="Unemployed"/>
    <s v="With Loan"/>
    <s v="Low-Risk"/>
  </r>
  <r>
    <s v="T001000"/>
    <s v="C4335"/>
    <s v="AC47632148"/>
    <x v="442"/>
    <x v="12"/>
    <x v="5"/>
    <x v="0"/>
    <n v="2368.8000000000002"/>
    <x v="0"/>
    <n v="30008.83"/>
    <s v="Medium"/>
    <x v="3"/>
    <n v="47"/>
    <x v="2"/>
    <s v="Male"/>
    <s v="Checking"/>
    <x v="310"/>
    <s v="EUR"/>
    <x v="0"/>
    <n v="2.7799999999999998E-2"/>
    <n v="2.78"/>
    <s v="low"/>
    <n v="26681.654999999999"/>
    <n v="741.75000899999998"/>
    <n v="17"/>
    <n v="669"/>
    <x v="2"/>
    <n v="1"/>
    <s v="Default"/>
    <n v="2"/>
    <n v="11091.93"/>
    <s v="High Income"/>
    <s v="Employed"/>
    <s v="Without Loan"/>
    <s v="Low-Ris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ECB7D-B520-428F-A97E-31A9DC543A66}" name="PivotTable1" cacheId="0" applyNumberFormats="0" applyBorderFormats="0" applyFontFormats="0" applyPatternFormats="0" applyAlignmentFormats="0" applyWidthHeightFormats="1" dataCaption="Values" updatedVersion="8" minRefreshableVersion="3" showDrill="0" rowGrandTotals="0" colGrandTotals="0" itemPrintTitles="1" createdVersion="8" indent="0" showHeaders="0" outline="1" outlineData="1" multipleFieldFilters="0" chartFormat="7">
  <location ref="B68:C73" firstHeaderRow="1" firstDataRow="1" firstDataCol="1"/>
  <pivotFields count="38">
    <pivotField showAll="0" defaultSubtotal="0"/>
    <pivotField dataField="1" showAll="0" defaultSubtotal="0"/>
    <pivotField showAll="0" defaultSubtotal="0"/>
    <pivotField numFmtId="14" showAll="0" defaultSubtotal="0">
      <items count="490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</items>
    </pivotField>
    <pivotField subtotalTop="0" showAll="0" defaultSubtotal="0"/>
    <pivotField subtotalTop="0" showAll="0" defaultSubtotal="0"/>
    <pivotField showAll="0" defaultSubtotal="0"/>
    <pivotField numFmtId="164" showAll="0" defaultSubtotal="0"/>
    <pivotField subtotalTop="0" showAll="0" defaultSubtotal="0"/>
    <pivotField numFmtId="164" showAll="0" defaultSubtotal="0"/>
    <pivotField subtotalTop="0" showAll="0" defaultSubtotal="0"/>
    <pivotField showAll="0" defaultSubtotal="0"/>
    <pivotField showAll="0" defaultSubtotal="0"/>
    <pivotField axis="axisRow" showAll="0" defaultSubtotal="0">
      <items count="5">
        <item x="0"/>
        <item x="1"/>
        <item x="2"/>
        <item x="3"/>
        <item x="4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subtotalTop="0" showAll="0" defaultSubtotal="0"/>
    <pivotField subtotalTop="0" showAll="0" defaultSubtotal="0"/>
    <pivotField name="Loan Amount2" numFmtId="164" subtotalTop="0" showAll="0" defaultSubtotal="0"/>
    <pivotField numFmtId="164" subtotalTop="0" showAll="0" defaultSubtotal="0"/>
    <pivotField subtotalTop="0" showAll="0" defaultSubtotal="0"/>
    <pivotField numFmtId="1" showAll="0" defaultSubtotal="0"/>
    <pivotField subtotalTop="0" showAll="0" defaultSubtotal="0"/>
    <pivotField numFmtId="1" subtotalTop="0" showAll="0" defaultSubtotal="0"/>
    <pivotField subtotalTop="0" showAll="0" defaultSubtotal="0"/>
    <pivotField numFmtId="1" subtotalTop="0" showAll="0" defaultSubtotal="0"/>
    <pivotField numFmtId="165" showAll="0" defaultSubtotal="0"/>
    <pivotField subtotalTop="0" showAll="0" defaultSubtotal="0"/>
    <pivotField showAll="0" defaultSubtotal="0"/>
    <pivotField subtotalTop="0" showAll="0" defaultSubtotal="0"/>
    <pivotField subtotalTop="0" showAll="0" defaultSubtotal="0"/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6">
        <item x="0"/>
        <item x="1"/>
        <item x="2"/>
        <item x="3"/>
        <item x="4"/>
        <item x="5"/>
      </items>
    </pivotField>
    <pivotField subtotalTop="0" showAll="0" defaultSubtotal="0">
      <items count="4">
        <item x="0"/>
        <item x="1"/>
        <item x="2"/>
        <item x="3"/>
      </items>
    </pivotField>
  </pivotFields>
  <rowFields count="1">
    <field x="1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  " fld="1" subtotal="count" showDataAs="percentOfTotal" baseField="0" baseItem="0" numFmtId="1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8D7B8-BC48-4429-83FF-F177A0BA1FBB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showHeaders="0" outline="1" outlineData="1" multipleFieldFilters="0">
  <location ref="B16:C21" firstHeaderRow="1" firstDataRow="1" firstDataCol="1"/>
  <pivotFields count="38">
    <pivotField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dataField="1" numFmtId="164" showAll="0"/>
    <pivotField showAll="0"/>
    <pivotField numFmtId="164" showAll="0"/>
    <pivotField showAll="0"/>
    <pivotField axis="axisRow" showAll="0" sortType="descending">
      <items count="6">
        <item x="4"/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1"/>
  </rowFields>
  <rowItems count="5">
    <i>
      <x/>
    </i>
    <i>
      <x v="4"/>
    </i>
    <i>
      <x v="2"/>
    </i>
    <i>
      <x v="3"/>
    </i>
    <i>
      <x v="1"/>
    </i>
  </rowItems>
  <colItems count="1">
    <i/>
  </colItems>
  <dataFields count="1">
    <dataField name="Transaction " fld="7" subtotal="count" baseField="7" baseItem="0"/>
  </dataFields>
  <pivotTableStyleInfo name="PivotStyleLight1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306C3-E32B-4DC0-B036-922B723B6658}" name="PivotTable4" cacheId="0" applyNumberFormats="0" applyBorderFormats="0" applyFontFormats="0" applyPatternFormats="0" applyAlignmentFormats="0" applyWidthHeightFormats="1" dataCaption="Values" updatedVersion="8" minRefreshableVersion="3" showDrill="0" rowGrandTotals="0" colGrandTotals="0" itemPrintTitles="1" createdVersion="8" indent="0" showHeaders="0" outline="1" outlineData="1" multipleFieldFilters="0" chartFormat="4">
  <location ref="B49:C74" firstHeaderRow="1" firstDataRow="1" firstDataCol="1"/>
  <pivotFields count="38">
    <pivotField showAll="0"/>
    <pivotField showAll="0"/>
    <pivotField dataField="1"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602">
        <item x="189"/>
        <item x="587"/>
        <item x="286"/>
        <item x="299"/>
        <item x="570"/>
        <item x="25"/>
        <item x="90"/>
        <item x="391"/>
        <item x="437"/>
        <item x="413"/>
        <item x="103"/>
        <item x="482"/>
        <item x="346"/>
        <item x="485"/>
        <item x="281"/>
        <item x="170"/>
        <item x="240"/>
        <item x="112"/>
        <item x="514"/>
        <item x="276"/>
        <item x="376"/>
        <item x="54"/>
        <item x="408"/>
        <item x="71"/>
        <item x="181"/>
        <item x="550"/>
        <item x="579"/>
        <item x="241"/>
        <item x="22"/>
        <item x="392"/>
        <item x="418"/>
        <item x="415"/>
        <item x="194"/>
        <item x="174"/>
        <item x="378"/>
        <item x="502"/>
        <item x="400"/>
        <item x="496"/>
        <item x="348"/>
        <item x="91"/>
        <item x="379"/>
        <item x="100"/>
        <item x="350"/>
        <item x="367"/>
        <item x="130"/>
        <item x="374"/>
        <item x="499"/>
        <item x="215"/>
        <item x="598"/>
        <item x="83"/>
        <item x="457"/>
        <item x="311"/>
        <item x="460"/>
        <item x="231"/>
        <item x="313"/>
        <item x="315"/>
        <item x="48"/>
        <item x="399"/>
        <item x="330"/>
        <item x="248"/>
        <item x="516"/>
        <item x="323"/>
        <item x="440"/>
        <item x="591"/>
        <item x="504"/>
        <item x="467"/>
        <item x="303"/>
        <item x="256"/>
        <item x="158"/>
        <item x="120"/>
        <item x="384"/>
        <item x="472"/>
        <item x="117"/>
        <item x="12"/>
        <item x="125"/>
        <item x="535"/>
        <item x="505"/>
        <item x="1"/>
        <item x="403"/>
        <item x="254"/>
        <item x="198"/>
        <item x="211"/>
        <item x="531"/>
        <item x="407"/>
        <item x="159"/>
        <item x="583"/>
        <item x="35"/>
        <item x="438"/>
        <item x="232"/>
        <item x="171"/>
        <item x="383"/>
        <item x="173"/>
        <item x="144"/>
        <item x="495"/>
        <item x="284"/>
        <item x="133"/>
        <item x="202"/>
        <item x="596"/>
        <item x="328"/>
        <item x="331"/>
        <item x="245"/>
        <item x="222"/>
        <item x="14"/>
        <item x="199"/>
        <item x="428"/>
        <item x="545"/>
        <item x="13"/>
        <item x="333"/>
        <item x="230"/>
        <item x="209"/>
        <item x="259"/>
        <item x="370"/>
        <item x="334"/>
        <item x="237"/>
        <item x="88"/>
        <item x="525"/>
        <item x="104"/>
        <item x="34"/>
        <item x="200"/>
        <item x="18"/>
        <item x="9"/>
        <item x="99"/>
        <item x="453"/>
        <item x="61"/>
        <item x="349"/>
        <item x="207"/>
        <item x="225"/>
        <item x="522"/>
        <item x="455"/>
        <item x="279"/>
        <item x="480"/>
        <item x="131"/>
        <item x="558"/>
        <item x="89"/>
        <item x="37"/>
        <item x="476"/>
        <item x="423"/>
        <item x="600"/>
        <item x="364"/>
        <item x="65"/>
        <item x="51"/>
        <item x="572"/>
        <item x="492"/>
        <item x="310"/>
        <item x="451"/>
        <item x="115"/>
        <item x="416"/>
        <item x="280"/>
        <item x="33"/>
        <item x="306"/>
        <item x="39"/>
        <item x="82"/>
        <item x="586"/>
        <item x="508"/>
        <item x="454"/>
        <item x="509"/>
        <item x="285"/>
        <item x="341"/>
        <item x="94"/>
        <item x="289"/>
        <item x="433"/>
        <item x="255"/>
        <item x="517"/>
        <item x="85"/>
        <item x="548"/>
        <item x="24"/>
        <item x="559"/>
        <item x="537"/>
        <item x="325"/>
        <item x="352"/>
        <item x="368"/>
        <item x="271"/>
        <item x="355"/>
        <item x="443"/>
        <item x="565"/>
        <item x="342"/>
        <item x="178"/>
        <item x="139"/>
        <item x="344"/>
        <item x="520"/>
        <item x="265"/>
        <item x="365"/>
        <item x="381"/>
        <item x="549"/>
        <item x="273"/>
        <item x="223"/>
        <item x="204"/>
        <item x="129"/>
        <item x="184"/>
        <item x="410"/>
        <item x="546"/>
        <item x="86"/>
        <item x="592"/>
        <item x="459"/>
        <item x="272"/>
        <item x="98"/>
        <item x="515"/>
        <item x="353"/>
        <item x="295"/>
        <item x="386"/>
        <item x="172"/>
        <item x="491"/>
        <item x="497"/>
        <item x="569"/>
        <item x="253"/>
        <item x="17"/>
        <item x="421"/>
        <item x="337"/>
        <item x="192"/>
        <item x="351"/>
        <item x="540"/>
        <item x="275"/>
        <item x="372"/>
        <item x="165"/>
        <item x="132"/>
        <item x="80"/>
        <item x="393"/>
        <item x="553"/>
        <item x="468"/>
        <item x="197"/>
        <item x="217"/>
        <item x="574"/>
        <item x="41"/>
        <item x="406"/>
        <item x="195"/>
        <item x="270"/>
        <item x="354"/>
        <item x="142"/>
        <item x="347"/>
        <item x="494"/>
        <item x="36"/>
        <item x="389"/>
        <item x="564"/>
        <item x="5"/>
        <item x="576"/>
        <item x="134"/>
        <item x="235"/>
        <item x="449"/>
        <item x="101"/>
        <item x="187"/>
        <item x="486"/>
        <item x="332"/>
        <item x="528"/>
        <item x="137"/>
        <item x="441"/>
        <item x="7"/>
        <item x="221"/>
        <item x="388"/>
        <item x="466"/>
        <item x="49"/>
        <item x="430"/>
        <item x="429"/>
        <item x="329"/>
        <item x="153"/>
        <item x="30"/>
        <item x="465"/>
        <item x="493"/>
        <item x="401"/>
        <item x="258"/>
        <item x="201"/>
        <item x="136"/>
        <item x="42"/>
        <item x="264"/>
        <item x="469"/>
        <item x="599"/>
        <item x="448"/>
        <item x="177"/>
        <item x="445"/>
        <item x="536"/>
        <item x="73"/>
        <item x="69"/>
        <item x="593"/>
        <item x="267"/>
        <item x="456"/>
        <item x="412"/>
        <item x="57"/>
        <item x="477"/>
        <item x="436"/>
        <item x="552"/>
        <item x="318"/>
        <item x="483"/>
        <item x="530"/>
        <item x="229"/>
        <item x="249"/>
        <item x="424"/>
        <item x="274"/>
        <item x="247"/>
        <item x="105"/>
        <item x="260"/>
        <item x="119"/>
        <item x="487"/>
        <item x="490"/>
        <item x="191"/>
        <item x="555"/>
        <item x="447"/>
        <item x="507"/>
        <item x="307"/>
        <item x="262"/>
        <item x="76"/>
        <item x="102"/>
        <item x="444"/>
        <item x="216"/>
        <item x="114"/>
        <item x="464"/>
        <item x="269"/>
        <item x="11"/>
        <item x="27"/>
        <item x="251"/>
        <item x="163"/>
        <item x="180"/>
        <item x="597"/>
        <item x="179"/>
        <item x="363"/>
        <item x="26"/>
        <item x="288"/>
        <item x="512"/>
        <item x="64"/>
        <item x="538"/>
        <item x="411"/>
        <item x="116"/>
        <item x="568"/>
        <item x="322"/>
        <item x="227"/>
        <item x="169"/>
        <item x="523"/>
        <item x="250"/>
        <item x="402"/>
        <item x="32"/>
        <item x="432"/>
        <item x="162"/>
        <item x="149"/>
        <item x="462"/>
        <item x="291"/>
        <item x="562"/>
        <item x="52"/>
        <item x="50"/>
        <item x="79"/>
        <item x="308"/>
        <item x="224"/>
        <item x="357"/>
        <item x="439"/>
        <item x="143"/>
        <item x="312"/>
        <item x="108"/>
        <item x="292"/>
        <item x="124"/>
        <item x="242"/>
        <item x="193"/>
        <item x="510"/>
        <item x="236"/>
        <item x="46"/>
        <item x="595"/>
        <item x="148"/>
        <item x="588"/>
        <item x="435"/>
        <item x="238"/>
        <item x="557"/>
        <item x="66"/>
        <item x="121"/>
        <item x="168"/>
        <item x="584"/>
        <item x="188"/>
        <item x="62"/>
        <item x="135"/>
        <item x="67"/>
        <item x="110"/>
        <item x="31"/>
        <item x="266"/>
        <item x="321"/>
        <item x="81"/>
        <item x="213"/>
        <item x="580"/>
        <item x="10"/>
        <item x="196"/>
        <item x="111"/>
        <item x="2"/>
        <item x="371"/>
        <item x="6"/>
        <item x="84"/>
        <item x="395"/>
        <item x="63"/>
        <item x="551"/>
        <item x="40"/>
        <item x="434"/>
        <item x="484"/>
        <item x="44"/>
        <item x="390"/>
        <item x="463"/>
        <item x="96"/>
        <item x="398"/>
        <item x="190"/>
        <item x="4"/>
        <item x="182"/>
        <item x="369"/>
        <item x="55"/>
        <item x="533"/>
        <item x="532"/>
        <item x="145"/>
        <item x="161"/>
        <item x="345"/>
        <item x="72"/>
        <item x="479"/>
        <item x="56"/>
        <item x="219"/>
        <item x="356"/>
        <item x="360"/>
        <item x="417"/>
        <item x="319"/>
        <item x="582"/>
        <item x="78"/>
        <item x="151"/>
        <item x="150"/>
        <item x="422"/>
        <item x="74"/>
        <item x="338"/>
        <item x="397"/>
        <item x="589"/>
        <item x="382"/>
        <item x="203"/>
        <item x="446"/>
        <item x="498"/>
        <item x="539"/>
        <item x="68"/>
        <item x="23"/>
        <item x="122"/>
        <item x="427"/>
        <item x="3"/>
        <item x="409"/>
        <item x="405"/>
        <item x="53"/>
        <item x="20"/>
        <item x="298"/>
        <item x="488"/>
        <item x="155"/>
        <item x="431"/>
        <item x="335"/>
        <item x="290"/>
        <item x="339"/>
        <item x="152"/>
        <item x="534"/>
        <item x="375"/>
        <item x="425"/>
        <item x="109"/>
        <item x="300"/>
        <item x="246"/>
        <item x="212"/>
        <item x="473"/>
        <item x="43"/>
        <item x="268"/>
        <item x="594"/>
        <item x="294"/>
        <item x="126"/>
        <item x="257"/>
        <item x="239"/>
        <item x="278"/>
        <item x="301"/>
        <item x="547"/>
        <item x="296"/>
        <item x="442"/>
        <item x="566"/>
        <item x="140"/>
        <item x="541"/>
        <item x="450"/>
        <item x="542"/>
        <item x="47"/>
        <item x="293"/>
        <item x="261"/>
        <item x="60"/>
        <item x="113"/>
        <item x="166"/>
        <item x="167"/>
        <item x="233"/>
        <item x="282"/>
        <item x="19"/>
        <item x="297"/>
        <item x="15"/>
        <item x="164"/>
        <item x="359"/>
        <item x="420"/>
        <item x="340"/>
        <item x="387"/>
        <item x="21"/>
        <item x="500"/>
        <item x="481"/>
        <item x="461"/>
        <item x="243"/>
        <item x="38"/>
        <item x="394"/>
        <item x="283"/>
        <item x="590"/>
        <item x="147"/>
        <item x="470"/>
        <item x="327"/>
        <item x="118"/>
        <item x="138"/>
        <item x="366"/>
        <item x="518"/>
        <item x="478"/>
        <item x="503"/>
        <item x="304"/>
        <item x="146"/>
        <item x="186"/>
        <item x="426"/>
        <item x="343"/>
        <item x="106"/>
        <item x="214"/>
        <item x="575"/>
        <item x="567"/>
        <item x="336"/>
        <item x="58"/>
        <item x="489"/>
        <item x="317"/>
        <item x="127"/>
        <item x="554"/>
        <item x="578"/>
        <item x="527"/>
        <item x="519"/>
        <item x="326"/>
        <item x="475"/>
        <item x="385"/>
        <item x="75"/>
        <item x="28"/>
        <item x="573"/>
        <item x="544"/>
        <item x="205"/>
        <item x="234"/>
        <item x="358"/>
        <item x="577"/>
        <item x="176"/>
        <item x="556"/>
        <item x="396"/>
        <item x="156"/>
        <item x="45"/>
        <item x="160"/>
        <item x="529"/>
        <item x="0"/>
        <item x="521"/>
        <item x="97"/>
        <item x="128"/>
        <item x="563"/>
        <item x="157"/>
        <item x="506"/>
        <item x="361"/>
        <item x="316"/>
        <item x="93"/>
        <item x="95"/>
        <item x="501"/>
        <item x="419"/>
        <item x="206"/>
        <item x="277"/>
        <item x="252"/>
        <item x="362"/>
        <item x="226"/>
        <item x="414"/>
        <item x="70"/>
        <item x="244"/>
        <item x="309"/>
        <item x="77"/>
        <item x="185"/>
        <item x="513"/>
        <item x="377"/>
        <item x="314"/>
        <item x="208"/>
        <item x="228"/>
        <item x="320"/>
        <item x="218"/>
        <item x="107"/>
        <item x="471"/>
        <item x="123"/>
        <item x="373"/>
        <item x="141"/>
        <item x="287"/>
        <item x="59"/>
        <item x="380"/>
        <item x="452"/>
        <item x="305"/>
        <item x="543"/>
        <item x="581"/>
        <item x="183"/>
        <item x="154"/>
        <item x="263"/>
        <item x="571"/>
        <item x="404"/>
        <item x="302"/>
        <item x="560"/>
        <item x="16"/>
        <item x="511"/>
        <item x="210"/>
        <item x="220"/>
        <item x="324"/>
        <item x="474"/>
        <item x="585"/>
        <item x="87"/>
        <item x="526"/>
        <item x="524"/>
        <item x="175"/>
        <item x="8"/>
        <item x="92"/>
        <item x="29"/>
        <item x="458"/>
        <item x="5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6"/>
  </rowFields>
  <rowItems count="25">
    <i>
      <x v="520"/>
    </i>
    <i>
      <x v="245"/>
    </i>
    <i>
      <x v="413"/>
    </i>
    <i>
      <x v="214"/>
    </i>
    <i>
      <x v="343"/>
    </i>
    <i>
      <x v="468"/>
    </i>
    <i>
      <x v="409"/>
    </i>
    <i>
      <x v="378"/>
    </i>
    <i>
      <x v="73"/>
    </i>
    <i>
      <x v="453"/>
    </i>
    <i>
      <x v="251"/>
    </i>
    <i>
      <x v="72"/>
    </i>
    <i>
      <x v="299"/>
    </i>
    <i>
      <x v="391"/>
    </i>
    <i>
      <x v="313"/>
    </i>
    <i>
      <x v="205"/>
    </i>
    <i>
      <x v="494"/>
    </i>
    <i>
      <x v="465"/>
    </i>
    <i>
      <x v="171"/>
    </i>
    <i>
      <x v="490"/>
    </i>
    <i>
      <x v="51"/>
    </i>
    <i>
      <x v="374"/>
    </i>
    <i>
      <x v="545"/>
    </i>
    <i>
      <x v="345"/>
    </i>
    <i>
      <x v="367"/>
    </i>
  </rowItems>
  <colItems count="1">
    <i/>
  </colItems>
  <dataFields count="1">
    <dataField name=" " fld="2" subtotal="count" baseField="1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40393-6DC9-4E64-B2A6-F3226A5822DF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showHeaders="0" outline="1" outlineData="1" multipleFieldFilters="0" chartFormat="4">
  <location ref="B31:C35" firstHeaderRow="1" firstDataRow="1" firstDataCol="1"/>
  <pivotFields count="38">
    <pivotField showAll="0"/>
    <pivotField dataField="1"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axis="axisRow" showAll="0">
      <items count="5">
        <item x="3"/>
        <item x="0"/>
        <item x="2"/>
        <item x="1"/>
        <item t="default"/>
      </items>
    </pivotField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4">
    <i>
      <x/>
    </i>
    <i>
      <x v="1"/>
    </i>
    <i>
      <x v="2"/>
    </i>
    <i>
      <x v="3"/>
    </i>
  </rowItems>
  <colItems count="1">
    <i/>
  </colItems>
  <dataFields count="1">
    <dataField name="Transaction Count" fld="1" subtotal="count" baseField="4" baseItem="0"/>
  </dataField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21ABD-03EC-431A-BE05-34C85BA56D17}" name="PivotTable5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showHeaders="0" outline="1" outlineData="1" multipleFieldFilters="0" chartFormat="6">
  <location ref="B13:D19" firstHeaderRow="1" firstDataRow="2" firstDataCol="1"/>
  <pivotFields count="38">
    <pivotField showAll="0" defaultSubtotal="0"/>
    <pivotField showAll="0" defaultSubtotal="0"/>
    <pivotField showAll="0" defaultSubtotal="0"/>
    <pivotField numFmtId="14" showAll="0" defaultSubtotal="0">
      <items count="490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</items>
    </pivotField>
    <pivotField subtotalTop="0" showAll="0" defaultSubtotal="0"/>
    <pivotField subtotalTop="0" showAll="0" defaultSubtotal="0"/>
    <pivotField showAll="0" defaultSubtotal="0"/>
    <pivotField numFmtId="164" showAll="0" defaultSubtotal="0"/>
    <pivotField axis="axisCol" showAll="0" defaultSubtotal="0">
      <items count="2">
        <item x="1"/>
        <item x="0"/>
      </items>
    </pivotField>
    <pivotField dataField="1" numFmtId="164" showAll="0" defaultSubtotal="0"/>
    <pivotField showAll="0" defaultSubtotal="0"/>
    <pivotField axis="axisRow" showAll="0" defaultSubtotal="0">
      <items count="5">
        <item x="4"/>
        <item x="0"/>
        <item x="1"/>
        <item x="2"/>
        <item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subtotalTop="0" showAll="0" defaultSubtotal="0"/>
    <pivotField subtotalTop="0" showAll="0" defaultSubtotal="0"/>
    <pivotField numFmtId="164" showAll="0" defaultSubtotal="0"/>
    <pivotField numFmtId="164" subtotalTop="0" showAll="0" defaultSubtotal="0"/>
    <pivotField showAll="0" defaultSubtotal="0"/>
    <pivotField numFmtId="1" showAll="0" defaultSubtotal="0"/>
    <pivotField subtotalTop="0" showAll="0" defaultSubtotal="0"/>
    <pivotField numFmtId="1" subtotalTop="0" showAll="0" defaultSubtotal="0"/>
    <pivotField subtotalTop="0" showAll="0" defaultSubtotal="0"/>
    <pivotField numFmtId="1" subtotalTop="0" showAll="0" defaultSubtotal="0"/>
    <pivotField numFmtId="165" showAll="0" defaultSubtotal="0"/>
    <pivotField subtotalTop="0" showAll="0" defaultSubtotal="0"/>
    <pivotField showAll="0" defaultSubtotal="0"/>
    <pivotField subtotalTop="0" showAll="0" defaultSubtotal="0"/>
    <pivotField subtotalTop="0" showAll="0" defaultSubtotal="0"/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6">
        <item x="0"/>
        <item x="1"/>
        <item x="2"/>
        <item x="3"/>
        <item x="4"/>
        <item x="5"/>
      </items>
    </pivotField>
    <pivotField subtotalTop="0" showAll="0" defaultSubtotal="0">
      <items count="4">
        <item x="0"/>
        <item x="1"/>
        <item x="2"/>
        <item x="3"/>
      </items>
    </pivotField>
  </pivotFields>
  <rowFields count="1">
    <field x="11"/>
  </rowFields>
  <rowItems count="5">
    <i>
      <x/>
    </i>
    <i>
      <x v="1"/>
    </i>
    <i>
      <x v="2"/>
    </i>
    <i>
      <x v="3"/>
    </i>
    <i>
      <x v="4"/>
    </i>
  </rowItems>
  <colFields count="1">
    <field x="8"/>
  </colFields>
  <colItems count="2">
    <i>
      <x/>
    </i>
    <i>
      <x v="1"/>
    </i>
  </colItems>
  <dataFields count="1">
    <dataField name=" " fld="9" baseField="0" baseItem="0" numFmtId="164"/>
  </dataFields>
  <chartFormats count="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EE6DD-E41C-4B31-8B41-884C5C7ACBB4}" name="PivotTable8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showHeaders="0" outline="1" outlineData="1" multipleFieldFilters="0" chartFormat="3">
  <location ref="B53:C63" firstHeaderRow="1" firstDataRow="1" firstDataCol="1"/>
  <pivotFields count="38">
    <pivotField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602">
        <item x="189"/>
        <item x="587"/>
        <item x="286"/>
        <item x="299"/>
        <item x="570"/>
        <item x="25"/>
        <item x="90"/>
        <item x="391"/>
        <item x="437"/>
        <item x="413"/>
        <item x="103"/>
        <item x="482"/>
        <item x="346"/>
        <item x="485"/>
        <item x="281"/>
        <item x="170"/>
        <item x="240"/>
        <item x="112"/>
        <item x="514"/>
        <item x="276"/>
        <item x="376"/>
        <item x="54"/>
        <item x="408"/>
        <item x="71"/>
        <item x="181"/>
        <item x="550"/>
        <item x="579"/>
        <item x="241"/>
        <item x="22"/>
        <item x="392"/>
        <item x="418"/>
        <item x="415"/>
        <item x="194"/>
        <item x="174"/>
        <item x="378"/>
        <item x="502"/>
        <item x="400"/>
        <item x="496"/>
        <item x="348"/>
        <item x="91"/>
        <item x="379"/>
        <item x="100"/>
        <item x="350"/>
        <item x="367"/>
        <item x="130"/>
        <item x="374"/>
        <item x="499"/>
        <item x="215"/>
        <item x="598"/>
        <item x="83"/>
        <item x="457"/>
        <item x="311"/>
        <item x="460"/>
        <item x="231"/>
        <item x="313"/>
        <item x="315"/>
        <item x="48"/>
        <item x="399"/>
        <item x="330"/>
        <item x="248"/>
        <item x="516"/>
        <item x="323"/>
        <item x="440"/>
        <item x="591"/>
        <item x="504"/>
        <item x="467"/>
        <item x="303"/>
        <item x="256"/>
        <item x="158"/>
        <item x="120"/>
        <item x="384"/>
        <item x="472"/>
        <item x="117"/>
        <item x="12"/>
        <item x="125"/>
        <item x="535"/>
        <item x="505"/>
        <item x="1"/>
        <item x="403"/>
        <item x="254"/>
        <item x="198"/>
        <item x="211"/>
        <item x="531"/>
        <item x="407"/>
        <item x="159"/>
        <item x="583"/>
        <item x="35"/>
        <item x="438"/>
        <item x="232"/>
        <item x="171"/>
        <item x="383"/>
        <item x="173"/>
        <item x="144"/>
        <item x="495"/>
        <item x="284"/>
        <item x="133"/>
        <item x="202"/>
        <item x="596"/>
        <item x="328"/>
        <item x="331"/>
        <item x="245"/>
        <item x="222"/>
        <item x="14"/>
        <item x="199"/>
        <item x="428"/>
        <item x="545"/>
        <item x="13"/>
        <item x="333"/>
        <item x="230"/>
        <item x="209"/>
        <item x="259"/>
        <item x="370"/>
        <item x="334"/>
        <item x="237"/>
        <item x="88"/>
        <item x="525"/>
        <item x="104"/>
        <item x="34"/>
        <item x="200"/>
        <item x="18"/>
        <item x="9"/>
        <item x="99"/>
        <item x="453"/>
        <item x="61"/>
        <item x="349"/>
        <item x="207"/>
        <item x="225"/>
        <item x="522"/>
        <item x="455"/>
        <item x="279"/>
        <item x="480"/>
        <item x="131"/>
        <item x="558"/>
        <item x="89"/>
        <item x="37"/>
        <item x="476"/>
        <item x="423"/>
        <item x="600"/>
        <item x="364"/>
        <item x="65"/>
        <item x="51"/>
        <item x="572"/>
        <item x="492"/>
        <item x="310"/>
        <item x="451"/>
        <item x="115"/>
        <item x="416"/>
        <item x="280"/>
        <item x="33"/>
        <item x="306"/>
        <item x="39"/>
        <item x="82"/>
        <item x="586"/>
        <item x="508"/>
        <item x="454"/>
        <item x="509"/>
        <item x="285"/>
        <item x="341"/>
        <item x="94"/>
        <item x="289"/>
        <item x="433"/>
        <item x="255"/>
        <item x="517"/>
        <item x="85"/>
        <item x="548"/>
        <item x="24"/>
        <item x="559"/>
        <item x="537"/>
        <item x="325"/>
        <item x="352"/>
        <item x="368"/>
        <item x="271"/>
        <item x="355"/>
        <item x="443"/>
        <item x="565"/>
        <item x="342"/>
        <item x="178"/>
        <item x="139"/>
        <item x="344"/>
        <item x="520"/>
        <item x="265"/>
        <item x="365"/>
        <item x="381"/>
        <item x="549"/>
        <item x="273"/>
        <item x="223"/>
        <item x="204"/>
        <item x="129"/>
        <item x="184"/>
        <item x="410"/>
        <item x="546"/>
        <item x="86"/>
        <item x="592"/>
        <item x="459"/>
        <item x="272"/>
        <item x="98"/>
        <item x="515"/>
        <item x="353"/>
        <item x="295"/>
        <item x="386"/>
        <item x="172"/>
        <item x="491"/>
        <item x="497"/>
        <item x="569"/>
        <item x="253"/>
        <item x="17"/>
        <item x="421"/>
        <item x="337"/>
        <item x="192"/>
        <item x="351"/>
        <item x="540"/>
        <item x="275"/>
        <item x="372"/>
        <item x="165"/>
        <item x="132"/>
        <item x="80"/>
        <item x="393"/>
        <item x="553"/>
        <item x="468"/>
        <item x="197"/>
        <item x="217"/>
        <item x="574"/>
        <item x="41"/>
        <item x="406"/>
        <item x="195"/>
        <item x="270"/>
        <item x="354"/>
        <item x="142"/>
        <item x="347"/>
        <item x="494"/>
        <item x="36"/>
        <item x="389"/>
        <item x="564"/>
        <item x="5"/>
        <item x="576"/>
        <item x="134"/>
        <item x="235"/>
        <item x="449"/>
        <item x="101"/>
        <item x="187"/>
        <item x="486"/>
        <item x="332"/>
        <item x="528"/>
        <item x="137"/>
        <item x="441"/>
        <item x="7"/>
        <item x="221"/>
        <item x="388"/>
        <item x="466"/>
        <item x="49"/>
        <item x="430"/>
        <item x="429"/>
        <item x="329"/>
        <item x="153"/>
        <item x="30"/>
        <item x="465"/>
        <item x="493"/>
        <item x="401"/>
        <item x="258"/>
        <item x="201"/>
        <item x="136"/>
        <item x="42"/>
        <item x="264"/>
        <item x="469"/>
        <item x="599"/>
        <item x="448"/>
        <item x="177"/>
        <item x="445"/>
        <item x="536"/>
        <item x="73"/>
        <item x="69"/>
        <item x="593"/>
        <item x="267"/>
        <item x="456"/>
        <item x="412"/>
        <item x="57"/>
        <item x="477"/>
        <item x="436"/>
        <item x="552"/>
        <item x="318"/>
        <item x="483"/>
        <item x="530"/>
        <item x="229"/>
        <item x="249"/>
        <item x="424"/>
        <item x="274"/>
        <item x="247"/>
        <item x="105"/>
        <item x="260"/>
        <item x="119"/>
        <item x="487"/>
        <item x="490"/>
        <item x="191"/>
        <item x="555"/>
        <item x="447"/>
        <item x="507"/>
        <item x="307"/>
        <item x="262"/>
        <item x="76"/>
        <item x="102"/>
        <item x="444"/>
        <item x="216"/>
        <item x="114"/>
        <item x="464"/>
        <item x="269"/>
        <item x="11"/>
        <item x="27"/>
        <item x="251"/>
        <item x="163"/>
        <item x="180"/>
        <item x="597"/>
        <item x="179"/>
        <item x="363"/>
        <item x="26"/>
        <item x="288"/>
        <item x="512"/>
        <item x="64"/>
        <item x="538"/>
        <item x="411"/>
        <item x="116"/>
        <item x="568"/>
        <item x="322"/>
        <item x="227"/>
        <item x="169"/>
        <item x="523"/>
        <item x="250"/>
        <item x="402"/>
        <item x="32"/>
        <item x="432"/>
        <item x="162"/>
        <item x="149"/>
        <item x="462"/>
        <item x="291"/>
        <item x="562"/>
        <item x="52"/>
        <item x="50"/>
        <item x="79"/>
        <item x="308"/>
        <item x="224"/>
        <item x="357"/>
        <item x="439"/>
        <item x="143"/>
        <item x="312"/>
        <item x="108"/>
        <item x="292"/>
        <item x="124"/>
        <item x="242"/>
        <item x="193"/>
        <item x="510"/>
        <item x="236"/>
        <item x="46"/>
        <item x="595"/>
        <item x="148"/>
        <item x="588"/>
        <item x="435"/>
        <item x="238"/>
        <item x="557"/>
        <item x="66"/>
        <item x="121"/>
        <item x="168"/>
        <item x="584"/>
        <item x="188"/>
        <item x="62"/>
        <item x="135"/>
        <item x="67"/>
        <item x="110"/>
        <item x="31"/>
        <item x="266"/>
        <item x="321"/>
        <item x="81"/>
        <item x="213"/>
        <item x="580"/>
        <item x="10"/>
        <item x="196"/>
        <item x="111"/>
        <item x="2"/>
        <item x="371"/>
        <item x="6"/>
        <item x="84"/>
        <item x="395"/>
        <item x="63"/>
        <item x="551"/>
        <item x="40"/>
        <item x="434"/>
        <item x="484"/>
        <item x="44"/>
        <item x="390"/>
        <item x="463"/>
        <item x="96"/>
        <item x="398"/>
        <item x="190"/>
        <item x="4"/>
        <item x="182"/>
        <item x="369"/>
        <item x="55"/>
        <item x="533"/>
        <item x="532"/>
        <item x="145"/>
        <item x="161"/>
        <item x="345"/>
        <item x="72"/>
        <item x="479"/>
        <item x="56"/>
        <item x="219"/>
        <item x="356"/>
        <item x="360"/>
        <item x="417"/>
        <item x="319"/>
        <item x="582"/>
        <item x="78"/>
        <item x="151"/>
        <item x="150"/>
        <item x="422"/>
        <item x="74"/>
        <item x="338"/>
        <item x="397"/>
        <item x="589"/>
        <item x="382"/>
        <item x="203"/>
        <item x="446"/>
        <item x="498"/>
        <item x="539"/>
        <item x="68"/>
        <item x="23"/>
        <item x="122"/>
        <item x="427"/>
        <item x="3"/>
        <item x="409"/>
        <item x="405"/>
        <item x="53"/>
        <item x="20"/>
        <item x="298"/>
        <item x="488"/>
        <item x="155"/>
        <item x="431"/>
        <item x="335"/>
        <item x="290"/>
        <item x="339"/>
        <item x="152"/>
        <item x="534"/>
        <item x="375"/>
        <item x="425"/>
        <item x="109"/>
        <item x="300"/>
        <item x="246"/>
        <item x="212"/>
        <item x="473"/>
        <item x="43"/>
        <item x="268"/>
        <item x="594"/>
        <item x="294"/>
        <item x="126"/>
        <item x="257"/>
        <item x="239"/>
        <item x="278"/>
        <item x="301"/>
        <item x="547"/>
        <item x="296"/>
        <item x="442"/>
        <item x="566"/>
        <item x="140"/>
        <item x="541"/>
        <item x="450"/>
        <item x="542"/>
        <item x="47"/>
        <item x="293"/>
        <item x="261"/>
        <item x="60"/>
        <item x="113"/>
        <item x="166"/>
        <item x="167"/>
        <item x="233"/>
        <item x="282"/>
        <item x="19"/>
        <item x="297"/>
        <item x="15"/>
        <item x="164"/>
        <item x="359"/>
        <item x="420"/>
        <item x="340"/>
        <item x="387"/>
        <item x="21"/>
        <item x="500"/>
        <item x="481"/>
        <item x="461"/>
        <item x="243"/>
        <item x="38"/>
        <item x="394"/>
        <item x="283"/>
        <item x="590"/>
        <item x="147"/>
        <item x="470"/>
        <item x="327"/>
        <item x="118"/>
        <item x="138"/>
        <item x="366"/>
        <item x="518"/>
        <item x="478"/>
        <item x="503"/>
        <item x="304"/>
        <item x="146"/>
        <item x="186"/>
        <item x="426"/>
        <item x="343"/>
        <item x="106"/>
        <item x="214"/>
        <item x="575"/>
        <item x="567"/>
        <item x="336"/>
        <item x="58"/>
        <item x="489"/>
        <item x="317"/>
        <item x="127"/>
        <item x="554"/>
        <item x="578"/>
        <item x="527"/>
        <item x="519"/>
        <item x="326"/>
        <item x="475"/>
        <item x="385"/>
        <item x="75"/>
        <item x="28"/>
        <item x="573"/>
        <item x="544"/>
        <item x="205"/>
        <item x="234"/>
        <item x="358"/>
        <item x="577"/>
        <item x="176"/>
        <item x="556"/>
        <item x="396"/>
        <item x="156"/>
        <item x="45"/>
        <item x="160"/>
        <item x="529"/>
        <item x="0"/>
        <item x="521"/>
        <item x="97"/>
        <item x="128"/>
        <item x="563"/>
        <item x="157"/>
        <item x="506"/>
        <item x="361"/>
        <item x="316"/>
        <item x="93"/>
        <item x="95"/>
        <item x="501"/>
        <item x="419"/>
        <item x="206"/>
        <item x="277"/>
        <item x="252"/>
        <item x="362"/>
        <item x="226"/>
        <item x="414"/>
        <item x="70"/>
        <item x="244"/>
        <item x="309"/>
        <item x="77"/>
        <item x="185"/>
        <item x="513"/>
        <item x="377"/>
        <item x="314"/>
        <item x="208"/>
        <item x="228"/>
        <item x="320"/>
        <item x="218"/>
        <item x="107"/>
        <item x="471"/>
        <item x="123"/>
        <item x="373"/>
        <item x="141"/>
        <item x="287"/>
        <item x="59"/>
        <item x="380"/>
        <item x="452"/>
        <item x="305"/>
        <item x="543"/>
        <item x="581"/>
        <item x="183"/>
        <item x="154"/>
        <item x="263"/>
        <item x="571"/>
        <item x="404"/>
        <item x="302"/>
        <item x="560"/>
        <item x="16"/>
        <item x="511"/>
        <item x="210"/>
        <item x="220"/>
        <item x="324"/>
        <item x="474"/>
        <item x="585"/>
        <item x="87"/>
        <item x="526"/>
        <item x="524"/>
        <item x="175"/>
        <item x="8"/>
        <item x="92"/>
        <item x="29"/>
        <item x="458"/>
        <item x="5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64" showAll="0"/>
    <pivotField dataField="1"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6"/>
  </rowFields>
  <rowItems count="10">
    <i>
      <x v="343"/>
    </i>
    <i>
      <x v="553"/>
    </i>
    <i>
      <x v="345"/>
    </i>
    <i>
      <x v="500"/>
    </i>
    <i>
      <x v="391"/>
    </i>
    <i>
      <x v="453"/>
    </i>
    <i>
      <x v="92"/>
    </i>
    <i>
      <x v="313"/>
    </i>
    <i>
      <x v="165"/>
    </i>
    <i>
      <x v="367"/>
    </i>
  </rowItems>
  <colItems count="1">
    <i/>
  </colItems>
  <dataFields count="1">
    <dataField name="Revenue" fld="23" baseField="0" baseItem="0" numFmtId="165"/>
  </dataFields>
  <formats count="1">
    <format dxfId="3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3C664-72F1-4428-BDFD-A7A8DEBA772A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5" rowHeaderCaption="Months">
  <location ref="B71:C83" firstHeaderRow="1" firstDataRow="1" firstDataCol="1"/>
  <pivotFields count="38">
    <pivotField dataField="1"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3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Count of Transactions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DFEA4-84F7-43DA-8F75-278CCB763354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Day">
  <location ref="B34:C66" firstHeaderRow="1" firstDataRow="1" firstDataCol="1"/>
  <pivotFields count="38">
    <pivotField dataField="1"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axis="axisRow" showAll="0">
      <items count="32">
        <item x="2"/>
        <item x="19"/>
        <item x="8"/>
        <item x="9"/>
        <item x="1"/>
        <item x="15"/>
        <item x="7"/>
        <item x="4"/>
        <item x="11"/>
        <item x="26"/>
        <item x="28"/>
        <item x="24"/>
        <item x="5"/>
        <item x="13"/>
        <item x="6"/>
        <item x="29"/>
        <item x="3"/>
        <item x="20"/>
        <item x="22"/>
        <item x="12"/>
        <item x="30"/>
        <item x="18"/>
        <item x="0"/>
        <item x="23"/>
        <item x="17"/>
        <item x="10"/>
        <item x="27"/>
        <item x="14"/>
        <item x="25"/>
        <item x="16"/>
        <item x="21"/>
        <item t="default"/>
      </items>
    </pivotField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s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B3982-36E2-4655-A3E3-000CFA6AD4AE}" name="PivotTable1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 rowHeaderCaption="Quarters">
  <location ref="B88:C92" firstHeaderRow="1" firstDataRow="1" firstDataCol="1"/>
  <pivotFields count="38">
    <pivotField dataField="1"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36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Count of Transactions" fld="0" subtotal="count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75AF7-6F2F-49E5-AA5F-BAFE750F89DE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showHeaders="0" outline="1" outlineData="1" multipleFieldFilters="0" chartFormat="3">
  <location ref="B19:G30" firstHeaderRow="1" firstDataRow="2" firstDataCol="1"/>
  <pivotFields count="38">
    <pivotField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axis="axisCol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showAll="0" measureFilter="1" sortType="ascending">
      <items count="602">
        <item x="189"/>
        <item x="587"/>
        <item x="286"/>
        <item x="299"/>
        <item x="570"/>
        <item x="25"/>
        <item x="90"/>
        <item x="391"/>
        <item x="437"/>
        <item x="413"/>
        <item x="103"/>
        <item x="482"/>
        <item x="346"/>
        <item x="485"/>
        <item x="281"/>
        <item x="170"/>
        <item x="240"/>
        <item x="112"/>
        <item x="514"/>
        <item x="276"/>
        <item x="376"/>
        <item x="54"/>
        <item x="408"/>
        <item x="71"/>
        <item x="181"/>
        <item x="550"/>
        <item x="579"/>
        <item x="241"/>
        <item x="22"/>
        <item x="392"/>
        <item x="418"/>
        <item x="415"/>
        <item x="194"/>
        <item x="174"/>
        <item x="378"/>
        <item x="502"/>
        <item x="400"/>
        <item x="496"/>
        <item x="348"/>
        <item x="91"/>
        <item x="379"/>
        <item x="100"/>
        <item x="350"/>
        <item x="367"/>
        <item x="130"/>
        <item x="374"/>
        <item x="499"/>
        <item x="215"/>
        <item x="598"/>
        <item x="83"/>
        <item x="457"/>
        <item x="311"/>
        <item x="460"/>
        <item x="231"/>
        <item x="313"/>
        <item x="315"/>
        <item x="48"/>
        <item x="399"/>
        <item x="330"/>
        <item x="248"/>
        <item x="516"/>
        <item x="323"/>
        <item x="440"/>
        <item x="591"/>
        <item x="504"/>
        <item x="467"/>
        <item x="303"/>
        <item x="256"/>
        <item x="158"/>
        <item x="120"/>
        <item x="384"/>
        <item x="472"/>
        <item x="117"/>
        <item x="12"/>
        <item x="125"/>
        <item x="535"/>
        <item x="505"/>
        <item x="1"/>
        <item x="403"/>
        <item x="254"/>
        <item x="198"/>
        <item x="211"/>
        <item x="531"/>
        <item x="407"/>
        <item x="159"/>
        <item x="583"/>
        <item x="35"/>
        <item x="438"/>
        <item x="232"/>
        <item x="171"/>
        <item x="383"/>
        <item x="173"/>
        <item x="144"/>
        <item x="495"/>
        <item x="284"/>
        <item x="133"/>
        <item x="202"/>
        <item x="596"/>
        <item x="328"/>
        <item x="331"/>
        <item x="245"/>
        <item x="222"/>
        <item x="14"/>
        <item x="199"/>
        <item x="428"/>
        <item x="545"/>
        <item x="13"/>
        <item x="333"/>
        <item x="230"/>
        <item x="209"/>
        <item x="259"/>
        <item x="370"/>
        <item x="334"/>
        <item x="237"/>
        <item x="88"/>
        <item x="525"/>
        <item x="104"/>
        <item x="34"/>
        <item x="200"/>
        <item x="18"/>
        <item x="9"/>
        <item x="99"/>
        <item x="453"/>
        <item x="61"/>
        <item x="349"/>
        <item x="207"/>
        <item x="225"/>
        <item x="522"/>
        <item x="455"/>
        <item x="279"/>
        <item x="480"/>
        <item x="131"/>
        <item x="558"/>
        <item x="89"/>
        <item x="37"/>
        <item x="476"/>
        <item x="423"/>
        <item x="600"/>
        <item x="364"/>
        <item x="65"/>
        <item x="51"/>
        <item x="572"/>
        <item x="492"/>
        <item x="310"/>
        <item x="451"/>
        <item x="115"/>
        <item x="416"/>
        <item x="280"/>
        <item x="33"/>
        <item x="306"/>
        <item x="39"/>
        <item x="82"/>
        <item x="586"/>
        <item x="508"/>
        <item x="454"/>
        <item x="509"/>
        <item x="285"/>
        <item x="341"/>
        <item x="94"/>
        <item x="289"/>
        <item x="433"/>
        <item x="255"/>
        <item x="517"/>
        <item x="85"/>
        <item x="548"/>
        <item x="24"/>
        <item x="559"/>
        <item x="537"/>
        <item x="325"/>
        <item x="352"/>
        <item x="368"/>
        <item x="271"/>
        <item x="355"/>
        <item x="443"/>
        <item x="565"/>
        <item x="342"/>
        <item x="178"/>
        <item x="139"/>
        <item x="344"/>
        <item x="520"/>
        <item x="265"/>
        <item x="365"/>
        <item x="381"/>
        <item x="549"/>
        <item x="273"/>
        <item x="223"/>
        <item x="204"/>
        <item x="129"/>
        <item x="184"/>
        <item x="410"/>
        <item x="546"/>
        <item x="86"/>
        <item x="592"/>
        <item x="459"/>
        <item x="272"/>
        <item x="98"/>
        <item x="515"/>
        <item x="353"/>
        <item x="295"/>
        <item x="386"/>
        <item x="172"/>
        <item x="491"/>
        <item x="497"/>
        <item x="569"/>
        <item x="253"/>
        <item x="17"/>
        <item x="421"/>
        <item x="337"/>
        <item x="192"/>
        <item x="351"/>
        <item x="540"/>
        <item x="275"/>
        <item x="372"/>
        <item x="165"/>
        <item x="132"/>
        <item x="80"/>
        <item x="393"/>
        <item x="553"/>
        <item x="468"/>
        <item x="197"/>
        <item x="217"/>
        <item x="574"/>
        <item x="41"/>
        <item x="406"/>
        <item x="195"/>
        <item x="270"/>
        <item x="354"/>
        <item x="142"/>
        <item x="347"/>
        <item x="494"/>
        <item x="36"/>
        <item x="389"/>
        <item x="564"/>
        <item x="5"/>
        <item x="576"/>
        <item x="134"/>
        <item x="235"/>
        <item x="449"/>
        <item x="101"/>
        <item x="187"/>
        <item x="486"/>
        <item x="332"/>
        <item x="528"/>
        <item x="137"/>
        <item x="441"/>
        <item x="7"/>
        <item x="221"/>
        <item x="388"/>
        <item x="466"/>
        <item x="49"/>
        <item x="430"/>
        <item x="429"/>
        <item x="329"/>
        <item x="153"/>
        <item x="30"/>
        <item x="465"/>
        <item x="493"/>
        <item x="401"/>
        <item x="258"/>
        <item x="201"/>
        <item x="136"/>
        <item x="42"/>
        <item x="264"/>
        <item x="469"/>
        <item x="599"/>
        <item x="448"/>
        <item x="177"/>
        <item x="445"/>
        <item x="536"/>
        <item x="73"/>
        <item x="69"/>
        <item x="593"/>
        <item x="267"/>
        <item x="456"/>
        <item x="412"/>
        <item x="57"/>
        <item x="477"/>
        <item x="436"/>
        <item x="552"/>
        <item x="318"/>
        <item x="483"/>
        <item x="530"/>
        <item x="229"/>
        <item x="249"/>
        <item x="424"/>
        <item x="274"/>
        <item x="247"/>
        <item x="105"/>
        <item x="260"/>
        <item x="119"/>
        <item x="487"/>
        <item x="490"/>
        <item x="191"/>
        <item x="555"/>
        <item x="447"/>
        <item x="507"/>
        <item x="307"/>
        <item x="262"/>
        <item x="76"/>
        <item x="102"/>
        <item x="444"/>
        <item x="216"/>
        <item x="114"/>
        <item x="464"/>
        <item x="269"/>
        <item x="11"/>
        <item x="27"/>
        <item x="251"/>
        <item x="163"/>
        <item x="180"/>
        <item x="597"/>
        <item x="179"/>
        <item x="363"/>
        <item x="26"/>
        <item x="288"/>
        <item x="512"/>
        <item x="64"/>
        <item x="538"/>
        <item x="411"/>
        <item x="116"/>
        <item x="568"/>
        <item x="322"/>
        <item x="227"/>
        <item x="169"/>
        <item x="523"/>
        <item x="250"/>
        <item x="402"/>
        <item x="32"/>
        <item x="432"/>
        <item x="162"/>
        <item x="149"/>
        <item x="462"/>
        <item x="291"/>
        <item x="562"/>
        <item x="52"/>
        <item x="50"/>
        <item x="79"/>
        <item x="308"/>
        <item x="224"/>
        <item x="357"/>
        <item x="439"/>
        <item x="143"/>
        <item x="312"/>
        <item x="108"/>
        <item x="292"/>
        <item x="124"/>
        <item x="242"/>
        <item x="193"/>
        <item x="510"/>
        <item x="236"/>
        <item x="46"/>
        <item x="595"/>
        <item x="148"/>
        <item x="588"/>
        <item x="435"/>
        <item x="238"/>
        <item x="557"/>
        <item x="66"/>
        <item x="121"/>
        <item x="168"/>
        <item x="584"/>
        <item x="188"/>
        <item x="62"/>
        <item x="135"/>
        <item x="67"/>
        <item x="110"/>
        <item x="31"/>
        <item x="266"/>
        <item x="321"/>
        <item x="81"/>
        <item x="213"/>
        <item x="580"/>
        <item x="10"/>
        <item x="196"/>
        <item x="111"/>
        <item x="2"/>
        <item x="371"/>
        <item x="6"/>
        <item x="84"/>
        <item x="395"/>
        <item x="63"/>
        <item x="551"/>
        <item x="40"/>
        <item x="434"/>
        <item x="484"/>
        <item x="44"/>
        <item x="390"/>
        <item x="463"/>
        <item x="96"/>
        <item x="398"/>
        <item x="190"/>
        <item x="4"/>
        <item x="182"/>
        <item x="369"/>
        <item x="55"/>
        <item x="533"/>
        <item x="532"/>
        <item x="145"/>
        <item x="161"/>
        <item x="345"/>
        <item x="72"/>
        <item x="479"/>
        <item x="56"/>
        <item x="219"/>
        <item x="356"/>
        <item x="360"/>
        <item x="417"/>
        <item x="319"/>
        <item x="582"/>
        <item x="78"/>
        <item x="151"/>
        <item x="150"/>
        <item x="422"/>
        <item x="74"/>
        <item x="338"/>
        <item x="397"/>
        <item x="589"/>
        <item x="382"/>
        <item x="203"/>
        <item x="446"/>
        <item x="498"/>
        <item x="539"/>
        <item x="68"/>
        <item x="23"/>
        <item x="122"/>
        <item x="427"/>
        <item x="3"/>
        <item x="409"/>
        <item x="405"/>
        <item x="53"/>
        <item x="20"/>
        <item x="298"/>
        <item x="488"/>
        <item x="155"/>
        <item x="431"/>
        <item x="335"/>
        <item x="290"/>
        <item x="339"/>
        <item x="152"/>
        <item x="534"/>
        <item x="375"/>
        <item x="425"/>
        <item x="109"/>
        <item x="300"/>
        <item x="246"/>
        <item x="212"/>
        <item x="473"/>
        <item x="43"/>
        <item x="268"/>
        <item x="594"/>
        <item x="294"/>
        <item x="126"/>
        <item x="257"/>
        <item x="239"/>
        <item x="278"/>
        <item x="301"/>
        <item x="547"/>
        <item x="296"/>
        <item x="442"/>
        <item x="566"/>
        <item x="140"/>
        <item x="541"/>
        <item x="450"/>
        <item x="542"/>
        <item x="47"/>
        <item x="293"/>
        <item x="261"/>
        <item x="60"/>
        <item x="113"/>
        <item x="166"/>
        <item x="167"/>
        <item x="233"/>
        <item x="282"/>
        <item x="19"/>
        <item x="297"/>
        <item x="15"/>
        <item x="164"/>
        <item x="359"/>
        <item x="420"/>
        <item x="340"/>
        <item x="387"/>
        <item x="21"/>
        <item x="500"/>
        <item x="481"/>
        <item x="461"/>
        <item x="243"/>
        <item x="38"/>
        <item x="394"/>
        <item x="283"/>
        <item x="590"/>
        <item x="147"/>
        <item x="470"/>
        <item x="327"/>
        <item x="118"/>
        <item x="138"/>
        <item x="366"/>
        <item x="518"/>
        <item x="478"/>
        <item x="503"/>
        <item x="304"/>
        <item x="146"/>
        <item x="186"/>
        <item x="426"/>
        <item x="343"/>
        <item x="106"/>
        <item x="214"/>
        <item x="575"/>
        <item x="567"/>
        <item x="336"/>
        <item x="58"/>
        <item x="489"/>
        <item x="317"/>
        <item x="127"/>
        <item x="554"/>
        <item x="578"/>
        <item x="527"/>
        <item x="519"/>
        <item x="326"/>
        <item x="475"/>
        <item x="385"/>
        <item x="75"/>
        <item x="28"/>
        <item x="573"/>
        <item x="544"/>
        <item x="205"/>
        <item x="234"/>
        <item x="358"/>
        <item x="577"/>
        <item x="176"/>
        <item x="556"/>
        <item x="396"/>
        <item x="156"/>
        <item x="45"/>
        <item x="160"/>
        <item x="529"/>
        <item x="0"/>
        <item x="521"/>
        <item x="97"/>
        <item x="128"/>
        <item x="563"/>
        <item x="157"/>
        <item x="506"/>
        <item x="361"/>
        <item x="316"/>
        <item x="93"/>
        <item x="95"/>
        <item x="501"/>
        <item x="419"/>
        <item x="206"/>
        <item x="277"/>
        <item x="252"/>
        <item x="362"/>
        <item x="226"/>
        <item x="414"/>
        <item x="70"/>
        <item x="244"/>
        <item x="309"/>
        <item x="77"/>
        <item x="185"/>
        <item x="513"/>
        <item x="377"/>
        <item x="314"/>
        <item x="208"/>
        <item x="228"/>
        <item x="320"/>
        <item x="218"/>
        <item x="107"/>
        <item x="471"/>
        <item x="123"/>
        <item x="373"/>
        <item x="141"/>
        <item x="287"/>
        <item x="59"/>
        <item x="380"/>
        <item x="452"/>
        <item x="305"/>
        <item x="543"/>
        <item x="581"/>
        <item x="183"/>
        <item x="154"/>
        <item x="263"/>
        <item x="571"/>
        <item x="404"/>
        <item x="302"/>
        <item x="560"/>
        <item x="16"/>
        <item x="511"/>
        <item x="210"/>
        <item x="220"/>
        <item x="324"/>
        <item x="474"/>
        <item x="585"/>
        <item x="87"/>
        <item x="526"/>
        <item x="524"/>
        <item x="175"/>
        <item x="8"/>
        <item x="92"/>
        <item x="29"/>
        <item x="458"/>
        <item x="56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6"/>
  </rowFields>
  <rowItems count="10">
    <i>
      <x v="200"/>
    </i>
    <i>
      <x v="38"/>
    </i>
    <i>
      <x v="164"/>
    </i>
    <i>
      <x v="497"/>
    </i>
    <i>
      <x v="349"/>
    </i>
    <i>
      <x v="586"/>
    </i>
    <i>
      <x v="426"/>
    </i>
    <i>
      <x v="47"/>
    </i>
    <i>
      <x v="207"/>
    </i>
    <i>
      <x v="454"/>
    </i>
  </rowItems>
  <colFields count="1">
    <field x="11"/>
  </colFields>
  <colItems count="5">
    <i>
      <x/>
    </i>
    <i>
      <x v="1"/>
    </i>
    <i>
      <x v="2"/>
    </i>
    <i>
      <x v="3"/>
    </i>
    <i>
      <x v="4"/>
    </i>
  </colItems>
  <dataFields count="1">
    <dataField name="Average of Loan Amount" fld="22" subtotal="average" baseField="16" baseItem="0" numFmtId="165"/>
  </dataFields>
  <formats count="1">
    <format dxfId="35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Medium3" showRowHeaders="1" showColHeaders="1" showRowStripes="1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10EAA-7D76-45FE-978F-41AFFB1C297C}" name="PivotTable2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showHeaders="0" outline="1" outlineData="1" multipleFieldFilters="0" chartFormat="13">
  <location ref="B46:E52" firstHeaderRow="1" firstDataRow="2" firstDataCol="1"/>
  <pivotFields count="38">
    <pivotField showAll="0"/>
    <pivotField dataField="1"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164" showAll="0"/>
    <pivotField numFmtId="164" showAll="0"/>
    <pivotField showAll="0"/>
    <pivotField numFmtId="1" showAll="0"/>
    <pivotField axis="axisRow" showAll="0">
      <items count="6">
        <item x="1"/>
        <item x="2"/>
        <item x="3"/>
        <item x="0"/>
        <item x="4"/>
        <item t="default"/>
      </items>
    </pivotField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26"/>
  </rowFields>
  <rowItems count="5">
    <i>
      <x/>
    </i>
    <i>
      <x v="1"/>
    </i>
    <i>
      <x v="2"/>
    </i>
    <i>
      <x v="3"/>
    </i>
    <i>
      <x v="4"/>
    </i>
  </rowItems>
  <colFields count="1">
    <field x="18"/>
  </colFields>
  <colItems count="3">
    <i>
      <x/>
    </i>
    <i>
      <x v="1"/>
    </i>
    <i>
      <x v="2"/>
    </i>
  </colItems>
  <dataFields count="1">
    <dataField name=" " fld="1" subtotal="count" baseField="0" baseItem="0"/>
  </dataFields>
  <formats count="12">
    <format dxfId="27">
      <pivotArea type="origin" dataOnly="0" labelOnly="1" outline="0" fieldPosition="0"/>
    </format>
    <format dxfId="26">
      <pivotArea type="topRight" dataOnly="0" labelOnly="1" outline="0" fieldPosition="0"/>
    </format>
    <format dxfId="25">
      <pivotArea dataOnly="0" labelOnly="1" fieldPosition="0">
        <references count="1">
          <reference field="18" count="0"/>
        </references>
      </pivotArea>
    </format>
    <format dxfId="24">
      <pivotArea type="origin" dataOnly="0" labelOnly="1" outline="0" fieldPosition="0"/>
    </format>
    <format dxfId="23">
      <pivotArea type="topRight" dataOnly="0" labelOnly="1" outline="0" fieldPosition="0"/>
    </format>
    <format dxfId="22">
      <pivotArea dataOnly="0" labelOnly="1" fieldPosition="0">
        <references count="1">
          <reference field="18" count="0"/>
        </references>
      </pivotArea>
    </format>
    <format dxfId="21">
      <pivotArea type="origin" dataOnly="0" labelOnly="1" outline="0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18" count="0"/>
        </references>
      </pivotArea>
    </format>
    <format dxfId="18">
      <pivotArea type="origin" dataOnly="0" labelOnly="1" outline="0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18" count="0"/>
        </references>
      </pivotArea>
    </format>
  </format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0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4C276-19D0-47A3-90B9-36A3D5D7620A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Credit Score">
  <location ref="B29:C34" firstHeaderRow="1" firstDataRow="1" firstDataCol="1"/>
  <pivotFields count="38">
    <pivotField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dataField="1" numFmtId="1" showAll="0"/>
    <pivotField axis="axisRow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26"/>
  </rowFields>
  <rowItems count="5">
    <i>
      <x v="3"/>
    </i>
    <i>
      <x v="1"/>
    </i>
    <i>
      <x v="2"/>
    </i>
    <i>
      <x/>
    </i>
    <i>
      <x v="4"/>
    </i>
  </rowItems>
  <colItems count="1">
    <i/>
  </colItems>
  <dataFields count="1">
    <dataField name="Count " fld="25" subtotal="count" baseField="24" baseItem="2"/>
  </dataFields>
  <formats count="7">
    <format dxfId="34">
      <pivotArea collapsedLevelsAreSubtotals="1" fieldPosition="0">
        <references count="1">
          <reference field="26" count="0"/>
        </references>
      </pivotArea>
    </format>
    <format dxfId="33">
      <pivotArea dataOnly="0" labelOnly="1" outline="0" axis="axisValues" fieldPosition="0"/>
    </format>
    <format dxfId="32">
      <pivotArea field="26" type="button" dataOnly="0" labelOnly="1" outline="0" axis="axisRow" fieldPosition="0"/>
    </format>
    <format dxfId="31">
      <pivotArea field="26" type="button" dataOnly="0" labelOnly="1" outline="0" axis="axisRow" fieldPosition="0"/>
    </format>
    <format dxfId="30">
      <pivotArea field="26" type="button" dataOnly="0" labelOnly="1" outline="0" axis="axisRow" fieldPosition="0"/>
    </format>
    <format dxfId="29">
      <pivotArea dataOnly="0" labelOnly="1" outline="0" axis="axisValues" fieldPosition="0"/>
    </format>
    <format dxfId="28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0EE3A-426C-43E7-931E-2C89B5B67900}" name="PivotTable8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showHeaders="0" outline="1" outlineData="1" multipleFieldFilters="0" chartFormat="3" rowHeaderCaption="Branches">
  <location ref="H12:I37" firstHeaderRow="1" firstDataRow="1" firstDataCol="1"/>
  <pivotFields count="38">
    <pivotField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602">
        <item x="189"/>
        <item x="587"/>
        <item x="286"/>
        <item x="299"/>
        <item x="570"/>
        <item x="25"/>
        <item x="90"/>
        <item x="391"/>
        <item x="437"/>
        <item x="413"/>
        <item x="103"/>
        <item x="482"/>
        <item x="346"/>
        <item x="485"/>
        <item x="281"/>
        <item x="170"/>
        <item x="240"/>
        <item x="112"/>
        <item x="514"/>
        <item x="276"/>
        <item x="376"/>
        <item x="54"/>
        <item x="408"/>
        <item x="71"/>
        <item x="181"/>
        <item x="550"/>
        <item x="579"/>
        <item x="241"/>
        <item x="22"/>
        <item x="392"/>
        <item x="418"/>
        <item x="415"/>
        <item x="194"/>
        <item x="174"/>
        <item x="378"/>
        <item x="502"/>
        <item x="400"/>
        <item x="496"/>
        <item x="348"/>
        <item x="91"/>
        <item x="379"/>
        <item x="100"/>
        <item x="350"/>
        <item x="367"/>
        <item x="130"/>
        <item x="374"/>
        <item x="499"/>
        <item x="215"/>
        <item x="598"/>
        <item x="83"/>
        <item x="457"/>
        <item x="311"/>
        <item x="460"/>
        <item x="231"/>
        <item x="313"/>
        <item x="315"/>
        <item x="48"/>
        <item x="399"/>
        <item x="330"/>
        <item x="248"/>
        <item x="516"/>
        <item x="323"/>
        <item x="440"/>
        <item x="591"/>
        <item x="504"/>
        <item x="467"/>
        <item x="303"/>
        <item x="256"/>
        <item x="158"/>
        <item x="120"/>
        <item x="384"/>
        <item x="472"/>
        <item x="117"/>
        <item x="12"/>
        <item x="125"/>
        <item x="535"/>
        <item x="505"/>
        <item x="1"/>
        <item x="403"/>
        <item x="254"/>
        <item x="198"/>
        <item x="211"/>
        <item x="531"/>
        <item x="407"/>
        <item x="159"/>
        <item x="583"/>
        <item x="35"/>
        <item x="438"/>
        <item x="232"/>
        <item x="171"/>
        <item x="383"/>
        <item x="173"/>
        <item x="144"/>
        <item x="495"/>
        <item x="284"/>
        <item x="133"/>
        <item x="202"/>
        <item x="596"/>
        <item x="328"/>
        <item x="331"/>
        <item x="245"/>
        <item x="222"/>
        <item x="14"/>
        <item x="199"/>
        <item x="428"/>
        <item x="545"/>
        <item x="13"/>
        <item x="333"/>
        <item x="230"/>
        <item x="209"/>
        <item x="259"/>
        <item x="370"/>
        <item x="334"/>
        <item x="237"/>
        <item x="88"/>
        <item x="525"/>
        <item x="104"/>
        <item x="34"/>
        <item x="200"/>
        <item x="18"/>
        <item x="9"/>
        <item x="99"/>
        <item x="453"/>
        <item x="61"/>
        <item x="349"/>
        <item x="207"/>
        <item x="225"/>
        <item x="522"/>
        <item x="455"/>
        <item x="279"/>
        <item x="480"/>
        <item x="131"/>
        <item x="558"/>
        <item x="89"/>
        <item x="37"/>
        <item x="476"/>
        <item x="423"/>
        <item x="600"/>
        <item x="364"/>
        <item x="65"/>
        <item x="51"/>
        <item x="572"/>
        <item x="492"/>
        <item x="310"/>
        <item x="451"/>
        <item x="115"/>
        <item x="416"/>
        <item x="280"/>
        <item x="33"/>
        <item x="306"/>
        <item x="39"/>
        <item x="82"/>
        <item x="586"/>
        <item x="508"/>
        <item x="454"/>
        <item x="509"/>
        <item x="285"/>
        <item x="341"/>
        <item x="94"/>
        <item x="289"/>
        <item x="433"/>
        <item x="255"/>
        <item x="517"/>
        <item x="85"/>
        <item x="548"/>
        <item x="24"/>
        <item x="559"/>
        <item x="537"/>
        <item x="325"/>
        <item x="352"/>
        <item x="368"/>
        <item x="271"/>
        <item x="355"/>
        <item x="443"/>
        <item x="565"/>
        <item x="342"/>
        <item x="178"/>
        <item x="139"/>
        <item x="344"/>
        <item x="520"/>
        <item x="265"/>
        <item x="365"/>
        <item x="381"/>
        <item x="549"/>
        <item x="273"/>
        <item x="223"/>
        <item x="204"/>
        <item x="129"/>
        <item x="184"/>
        <item x="410"/>
        <item x="546"/>
        <item x="86"/>
        <item x="592"/>
        <item x="459"/>
        <item x="272"/>
        <item x="98"/>
        <item x="515"/>
        <item x="353"/>
        <item x="295"/>
        <item x="386"/>
        <item x="172"/>
        <item x="491"/>
        <item x="497"/>
        <item x="569"/>
        <item x="253"/>
        <item x="17"/>
        <item x="421"/>
        <item x="337"/>
        <item x="192"/>
        <item x="351"/>
        <item x="540"/>
        <item x="275"/>
        <item x="372"/>
        <item x="165"/>
        <item x="132"/>
        <item x="80"/>
        <item x="393"/>
        <item x="553"/>
        <item x="468"/>
        <item x="197"/>
        <item x="217"/>
        <item x="574"/>
        <item x="41"/>
        <item x="406"/>
        <item x="195"/>
        <item x="270"/>
        <item x="354"/>
        <item x="142"/>
        <item x="347"/>
        <item x="494"/>
        <item x="36"/>
        <item x="389"/>
        <item x="564"/>
        <item x="5"/>
        <item x="576"/>
        <item x="134"/>
        <item x="235"/>
        <item x="449"/>
        <item x="101"/>
        <item x="187"/>
        <item x="486"/>
        <item x="332"/>
        <item x="528"/>
        <item x="137"/>
        <item x="441"/>
        <item x="7"/>
        <item x="221"/>
        <item x="388"/>
        <item x="466"/>
        <item x="49"/>
        <item x="430"/>
        <item x="429"/>
        <item x="329"/>
        <item x="153"/>
        <item x="30"/>
        <item x="465"/>
        <item x="493"/>
        <item x="401"/>
        <item x="258"/>
        <item x="201"/>
        <item x="136"/>
        <item x="42"/>
        <item x="264"/>
        <item x="469"/>
        <item x="599"/>
        <item x="448"/>
        <item x="177"/>
        <item x="445"/>
        <item x="536"/>
        <item x="73"/>
        <item x="69"/>
        <item x="593"/>
        <item x="267"/>
        <item x="456"/>
        <item x="412"/>
        <item x="57"/>
        <item x="477"/>
        <item x="436"/>
        <item x="552"/>
        <item x="318"/>
        <item x="483"/>
        <item x="530"/>
        <item x="229"/>
        <item x="249"/>
        <item x="424"/>
        <item x="274"/>
        <item x="247"/>
        <item x="105"/>
        <item x="260"/>
        <item x="119"/>
        <item x="487"/>
        <item x="490"/>
        <item x="191"/>
        <item x="555"/>
        <item x="447"/>
        <item x="507"/>
        <item x="307"/>
        <item x="262"/>
        <item x="76"/>
        <item x="102"/>
        <item x="444"/>
        <item x="216"/>
        <item x="114"/>
        <item x="464"/>
        <item x="269"/>
        <item x="11"/>
        <item x="27"/>
        <item x="251"/>
        <item x="163"/>
        <item x="180"/>
        <item x="597"/>
        <item x="179"/>
        <item x="363"/>
        <item x="26"/>
        <item x="288"/>
        <item x="512"/>
        <item x="64"/>
        <item x="538"/>
        <item x="411"/>
        <item x="116"/>
        <item x="568"/>
        <item x="322"/>
        <item x="227"/>
        <item x="169"/>
        <item x="523"/>
        <item x="250"/>
        <item x="402"/>
        <item x="32"/>
        <item x="432"/>
        <item x="162"/>
        <item x="149"/>
        <item x="462"/>
        <item x="291"/>
        <item x="562"/>
        <item x="52"/>
        <item x="50"/>
        <item x="79"/>
        <item x="308"/>
        <item x="224"/>
        <item x="357"/>
        <item x="439"/>
        <item x="143"/>
        <item x="312"/>
        <item x="108"/>
        <item x="292"/>
        <item x="124"/>
        <item x="242"/>
        <item x="193"/>
        <item x="510"/>
        <item x="236"/>
        <item x="46"/>
        <item x="595"/>
        <item x="148"/>
        <item x="588"/>
        <item x="435"/>
        <item x="238"/>
        <item x="557"/>
        <item x="66"/>
        <item x="121"/>
        <item x="168"/>
        <item x="584"/>
        <item x="188"/>
        <item x="62"/>
        <item x="135"/>
        <item x="67"/>
        <item x="110"/>
        <item x="31"/>
        <item x="266"/>
        <item x="321"/>
        <item x="81"/>
        <item x="213"/>
        <item x="580"/>
        <item x="10"/>
        <item x="196"/>
        <item x="111"/>
        <item x="2"/>
        <item x="371"/>
        <item x="6"/>
        <item x="84"/>
        <item x="395"/>
        <item x="63"/>
        <item x="551"/>
        <item x="40"/>
        <item x="434"/>
        <item x="484"/>
        <item x="44"/>
        <item x="390"/>
        <item x="463"/>
        <item x="96"/>
        <item x="398"/>
        <item x="190"/>
        <item x="4"/>
        <item x="182"/>
        <item x="369"/>
        <item x="55"/>
        <item x="533"/>
        <item x="532"/>
        <item x="145"/>
        <item x="161"/>
        <item x="345"/>
        <item x="72"/>
        <item x="479"/>
        <item x="56"/>
        <item x="219"/>
        <item x="356"/>
        <item x="360"/>
        <item x="417"/>
        <item x="319"/>
        <item x="582"/>
        <item x="78"/>
        <item x="151"/>
        <item x="150"/>
        <item x="422"/>
        <item x="74"/>
        <item x="338"/>
        <item x="397"/>
        <item x="589"/>
        <item x="382"/>
        <item x="203"/>
        <item x="446"/>
        <item x="498"/>
        <item x="539"/>
        <item x="68"/>
        <item x="23"/>
        <item x="122"/>
        <item x="427"/>
        <item x="3"/>
        <item x="409"/>
        <item x="405"/>
        <item x="53"/>
        <item x="20"/>
        <item x="298"/>
        <item x="488"/>
        <item x="155"/>
        <item x="431"/>
        <item x="335"/>
        <item x="290"/>
        <item x="339"/>
        <item x="152"/>
        <item x="534"/>
        <item x="375"/>
        <item x="425"/>
        <item x="109"/>
        <item x="300"/>
        <item x="246"/>
        <item x="212"/>
        <item x="473"/>
        <item x="43"/>
        <item x="268"/>
        <item x="594"/>
        <item x="294"/>
        <item x="126"/>
        <item x="257"/>
        <item x="239"/>
        <item x="278"/>
        <item x="301"/>
        <item x="547"/>
        <item x="296"/>
        <item x="442"/>
        <item x="566"/>
        <item x="140"/>
        <item x="541"/>
        <item x="450"/>
        <item x="542"/>
        <item x="47"/>
        <item x="293"/>
        <item x="261"/>
        <item x="60"/>
        <item x="113"/>
        <item x="166"/>
        <item x="167"/>
        <item x="233"/>
        <item x="282"/>
        <item x="19"/>
        <item x="297"/>
        <item x="15"/>
        <item x="164"/>
        <item x="359"/>
        <item x="420"/>
        <item x="340"/>
        <item x="387"/>
        <item x="21"/>
        <item x="500"/>
        <item x="481"/>
        <item x="461"/>
        <item x="243"/>
        <item x="38"/>
        <item x="394"/>
        <item x="283"/>
        <item x="590"/>
        <item x="147"/>
        <item x="470"/>
        <item x="327"/>
        <item x="118"/>
        <item x="138"/>
        <item x="366"/>
        <item x="518"/>
        <item x="478"/>
        <item x="503"/>
        <item x="304"/>
        <item x="146"/>
        <item x="186"/>
        <item x="426"/>
        <item x="343"/>
        <item x="106"/>
        <item x="214"/>
        <item x="575"/>
        <item x="567"/>
        <item x="336"/>
        <item x="58"/>
        <item x="489"/>
        <item x="317"/>
        <item x="127"/>
        <item x="554"/>
        <item x="578"/>
        <item x="527"/>
        <item x="519"/>
        <item x="326"/>
        <item x="475"/>
        <item x="385"/>
        <item x="75"/>
        <item x="28"/>
        <item x="573"/>
        <item x="544"/>
        <item x="205"/>
        <item x="234"/>
        <item x="358"/>
        <item x="577"/>
        <item x="176"/>
        <item x="556"/>
        <item x="396"/>
        <item x="156"/>
        <item x="45"/>
        <item x="160"/>
        <item x="529"/>
        <item x="0"/>
        <item x="521"/>
        <item x="97"/>
        <item x="128"/>
        <item x="563"/>
        <item x="157"/>
        <item x="506"/>
        <item x="361"/>
        <item x="316"/>
        <item x="93"/>
        <item x="95"/>
        <item x="501"/>
        <item x="419"/>
        <item x="206"/>
        <item x="277"/>
        <item x="252"/>
        <item x="362"/>
        <item x="226"/>
        <item x="414"/>
        <item x="70"/>
        <item x="244"/>
        <item x="309"/>
        <item x="77"/>
        <item x="185"/>
        <item x="513"/>
        <item x="377"/>
        <item x="314"/>
        <item x="208"/>
        <item x="228"/>
        <item x="320"/>
        <item x="218"/>
        <item x="107"/>
        <item x="471"/>
        <item x="123"/>
        <item x="373"/>
        <item x="141"/>
        <item x="287"/>
        <item x="59"/>
        <item x="380"/>
        <item x="452"/>
        <item x="305"/>
        <item x="543"/>
        <item x="581"/>
        <item x="183"/>
        <item x="154"/>
        <item x="263"/>
        <item x="571"/>
        <item x="404"/>
        <item x="302"/>
        <item x="560"/>
        <item x="16"/>
        <item x="511"/>
        <item x="210"/>
        <item x="220"/>
        <item x="324"/>
        <item x="474"/>
        <item x="585"/>
        <item x="87"/>
        <item x="526"/>
        <item x="524"/>
        <item x="175"/>
        <item x="8"/>
        <item x="92"/>
        <item x="29"/>
        <item x="458"/>
        <item x="5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6"/>
  </rowFields>
  <rowItems count="25">
    <i>
      <x v="520"/>
    </i>
    <i>
      <x v="245"/>
    </i>
    <i>
      <x v="413"/>
    </i>
    <i>
      <x v="214"/>
    </i>
    <i>
      <x v="343"/>
    </i>
    <i>
      <x v="468"/>
    </i>
    <i>
      <x v="409"/>
    </i>
    <i>
      <x v="378"/>
    </i>
    <i>
      <x v="73"/>
    </i>
    <i>
      <x v="453"/>
    </i>
    <i>
      <x v="251"/>
    </i>
    <i>
      <x v="72"/>
    </i>
    <i>
      <x v="299"/>
    </i>
    <i>
      <x v="391"/>
    </i>
    <i>
      <x v="313"/>
    </i>
    <i>
      <x v="205"/>
    </i>
    <i>
      <x v="494"/>
    </i>
    <i>
      <x v="465"/>
    </i>
    <i>
      <x v="171"/>
    </i>
    <i>
      <x v="490"/>
    </i>
    <i>
      <x v="51"/>
    </i>
    <i>
      <x v="374"/>
    </i>
    <i>
      <x v="545"/>
    </i>
    <i>
      <x v="345"/>
    </i>
    <i>
      <x v="367"/>
    </i>
  </rowItems>
  <colItems count="1">
    <i/>
  </colItems>
  <dataFields count="1">
    <dataField name="level of Efficiency" fld="18" subtotal="count" baseField="0" baseItem="0"/>
  </dataFields>
  <formats count="4">
    <format dxfId="15">
      <pivotArea collapsedLevelsAreSubtotals="1" fieldPosition="0">
        <references count="1">
          <reference field="16" count="1">
            <x v="520"/>
          </reference>
        </references>
      </pivotArea>
    </format>
    <format dxfId="14">
      <pivotArea dataOnly="0" labelOnly="1" outline="0" axis="axisValues" fieldPosition="0"/>
    </format>
    <format dxfId="13">
      <pivotArea field="16" type="button" dataOnly="0" labelOnly="1" outline="0" axis="axisRow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filters count="1">
    <filter fld="1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F6516-3973-4C43-B1F5-B04F98F0EAA2}" name="PivotTable11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 chartFormat="37" rowHeaderCaption="Month">
  <location ref="B63:C67" firstHeaderRow="1" firstDataRow="1" firstDataCol="1"/>
  <pivotFields count="38">
    <pivotField dataField="1"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36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Transaction" fld="0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09F13-68CB-4B11-9677-1B457B0EEF5D}" name="PivotTable10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 chartFormat="11" rowHeaderCaption="Month">
  <location ref="B46:C58" firstHeaderRow="1" firstDataRow="1" firstDataCol="1"/>
  <pivotFields count="38">
    <pivotField dataField="1"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axis="axisRow" showAll="0">
      <items count="13">
        <item x="8"/>
        <item x="6"/>
        <item x="3"/>
        <item x="1"/>
        <item x="0"/>
        <item x="4"/>
        <item x="2"/>
        <item x="9"/>
        <item x="10"/>
        <item x="5"/>
        <item x="7"/>
        <item x="11"/>
        <item t="default"/>
      </items>
    </pivotField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Transaction" fld="0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890AB-AF6B-41AD-BF27-0F60243EFB6B}" name="PivotTable9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 chartFormat="3" rowHeaderCaption="Day">
  <location ref="B12:C43" firstHeaderRow="1" firstDataRow="1" firstDataCol="1"/>
  <pivotFields count="38">
    <pivotField dataField="1"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axis="axisRow" showAll="0">
      <items count="32">
        <item x="2"/>
        <item x="19"/>
        <item x="8"/>
        <item x="9"/>
        <item x="1"/>
        <item x="15"/>
        <item x="7"/>
        <item x="4"/>
        <item x="11"/>
        <item x="26"/>
        <item x="28"/>
        <item x="24"/>
        <item x="5"/>
        <item x="13"/>
        <item x="6"/>
        <item x="29"/>
        <item x="3"/>
        <item x="20"/>
        <item x="22"/>
        <item x="12"/>
        <item x="30"/>
        <item x="18"/>
        <item x="0"/>
        <item x="23"/>
        <item x="17"/>
        <item x="10"/>
        <item x="27"/>
        <item x="14"/>
        <item x="25"/>
        <item x="16"/>
        <item x="21"/>
        <item t="default"/>
      </items>
    </pivotField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4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rowItems>
  <colItems count="1">
    <i/>
  </colItems>
  <dataFields count="1">
    <dataField name="Transaction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BD60F-1A8F-42B9-B391-5E10622B3FBD}" name="PivotTable2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 rowHeaderCaption="Branches">
  <location ref="H14:I24" firstHeaderRow="1" firstDataRow="1" firstDataCol="1"/>
  <pivotFields count="38">
    <pivotField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 measureFilter="1">
      <items count="602">
        <item x="189"/>
        <item x="587"/>
        <item x="286"/>
        <item x="299"/>
        <item x="570"/>
        <item x="25"/>
        <item x="90"/>
        <item x="391"/>
        <item x="437"/>
        <item x="413"/>
        <item x="103"/>
        <item x="482"/>
        <item x="346"/>
        <item x="485"/>
        <item x="281"/>
        <item x="170"/>
        <item x="240"/>
        <item x="112"/>
        <item x="514"/>
        <item x="276"/>
        <item x="376"/>
        <item x="54"/>
        <item x="408"/>
        <item x="71"/>
        <item x="181"/>
        <item x="550"/>
        <item x="579"/>
        <item x="241"/>
        <item x="22"/>
        <item x="392"/>
        <item x="418"/>
        <item x="415"/>
        <item x="194"/>
        <item x="174"/>
        <item x="378"/>
        <item x="502"/>
        <item x="400"/>
        <item x="496"/>
        <item x="348"/>
        <item x="91"/>
        <item x="379"/>
        <item x="100"/>
        <item x="350"/>
        <item x="367"/>
        <item x="130"/>
        <item x="374"/>
        <item x="499"/>
        <item x="215"/>
        <item x="598"/>
        <item x="83"/>
        <item x="457"/>
        <item x="311"/>
        <item x="460"/>
        <item x="231"/>
        <item x="313"/>
        <item x="315"/>
        <item x="48"/>
        <item x="399"/>
        <item x="330"/>
        <item x="248"/>
        <item x="516"/>
        <item x="323"/>
        <item x="440"/>
        <item x="591"/>
        <item x="504"/>
        <item x="467"/>
        <item x="303"/>
        <item x="256"/>
        <item x="158"/>
        <item x="120"/>
        <item x="384"/>
        <item x="472"/>
        <item x="117"/>
        <item x="12"/>
        <item x="125"/>
        <item x="535"/>
        <item x="505"/>
        <item x="1"/>
        <item x="403"/>
        <item x="254"/>
        <item x="198"/>
        <item x="211"/>
        <item x="531"/>
        <item x="407"/>
        <item x="159"/>
        <item x="583"/>
        <item x="35"/>
        <item x="438"/>
        <item x="232"/>
        <item x="171"/>
        <item x="383"/>
        <item x="173"/>
        <item x="144"/>
        <item x="495"/>
        <item x="284"/>
        <item x="133"/>
        <item x="202"/>
        <item x="596"/>
        <item x="328"/>
        <item x="331"/>
        <item x="245"/>
        <item x="222"/>
        <item x="14"/>
        <item x="199"/>
        <item x="428"/>
        <item x="545"/>
        <item x="13"/>
        <item x="333"/>
        <item x="230"/>
        <item x="209"/>
        <item x="259"/>
        <item x="370"/>
        <item x="334"/>
        <item x="237"/>
        <item x="88"/>
        <item x="525"/>
        <item x="104"/>
        <item x="34"/>
        <item x="200"/>
        <item x="18"/>
        <item x="9"/>
        <item x="99"/>
        <item x="453"/>
        <item x="61"/>
        <item x="349"/>
        <item x="207"/>
        <item x="225"/>
        <item x="522"/>
        <item x="455"/>
        <item x="279"/>
        <item x="480"/>
        <item x="131"/>
        <item x="558"/>
        <item x="89"/>
        <item x="37"/>
        <item x="476"/>
        <item x="423"/>
        <item x="600"/>
        <item x="364"/>
        <item x="65"/>
        <item x="51"/>
        <item x="572"/>
        <item x="492"/>
        <item x="310"/>
        <item x="451"/>
        <item x="115"/>
        <item x="416"/>
        <item x="280"/>
        <item x="33"/>
        <item x="306"/>
        <item x="39"/>
        <item x="82"/>
        <item x="586"/>
        <item x="508"/>
        <item x="454"/>
        <item x="509"/>
        <item x="285"/>
        <item x="341"/>
        <item x="94"/>
        <item x="289"/>
        <item x="433"/>
        <item x="255"/>
        <item x="517"/>
        <item x="85"/>
        <item x="548"/>
        <item x="24"/>
        <item x="559"/>
        <item x="537"/>
        <item x="325"/>
        <item x="352"/>
        <item x="368"/>
        <item x="271"/>
        <item x="355"/>
        <item x="443"/>
        <item x="565"/>
        <item x="342"/>
        <item x="178"/>
        <item x="139"/>
        <item x="344"/>
        <item x="520"/>
        <item x="265"/>
        <item x="365"/>
        <item x="381"/>
        <item x="549"/>
        <item x="273"/>
        <item x="223"/>
        <item x="204"/>
        <item x="129"/>
        <item x="184"/>
        <item x="410"/>
        <item x="546"/>
        <item x="86"/>
        <item x="592"/>
        <item x="459"/>
        <item x="272"/>
        <item x="98"/>
        <item x="515"/>
        <item x="353"/>
        <item x="295"/>
        <item x="386"/>
        <item x="172"/>
        <item x="491"/>
        <item x="497"/>
        <item x="569"/>
        <item x="253"/>
        <item x="17"/>
        <item x="421"/>
        <item x="337"/>
        <item x="192"/>
        <item x="351"/>
        <item x="540"/>
        <item x="275"/>
        <item x="372"/>
        <item x="165"/>
        <item x="132"/>
        <item x="80"/>
        <item x="393"/>
        <item x="553"/>
        <item x="468"/>
        <item x="197"/>
        <item x="217"/>
        <item x="574"/>
        <item x="41"/>
        <item x="406"/>
        <item x="195"/>
        <item x="270"/>
        <item x="354"/>
        <item x="142"/>
        <item x="347"/>
        <item x="494"/>
        <item x="36"/>
        <item x="389"/>
        <item x="564"/>
        <item x="5"/>
        <item x="576"/>
        <item x="134"/>
        <item x="235"/>
        <item x="449"/>
        <item x="101"/>
        <item x="187"/>
        <item x="486"/>
        <item x="332"/>
        <item x="528"/>
        <item x="137"/>
        <item x="441"/>
        <item x="7"/>
        <item x="221"/>
        <item x="388"/>
        <item x="466"/>
        <item x="49"/>
        <item x="430"/>
        <item x="429"/>
        <item x="329"/>
        <item x="153"/>
        <item x="30"/>
        <item x="465"/>
        <item x="493"/>
        <item x="401"/>
        <item x="258"/>
        <item x="201"/>
        <item x="136"/>
        <item x="42"/>
        <item x="264"/>
        <item x="469"/>
        <item x="599"/>
        <item x="448"/>
        <item x="177"/>
        <item x="445"/>
        <item x="536"/>
        <item x="73"/>
        <item x="69"/>
        <item x="593"/>
        <item x="267"/>
        <item x="456"/>
        <item x="412"/>
        <item x="57"/>
        <item x="477"/>
        <item x="436"/>
        <item x="552"/>
        <item x="318"/>
        <item x="483"/>
        <item x="530"/>
        <item x="229"/>
        <item x="249"/>
        <item x="424"/>
        <item x="274"/>
        <item x="247"/>
        <item x="105"/>
        <item x="260"/>
        <item x="119"/>
        <item x="487"/>
        <item x="490"/>
        <item x="191"/>
        <item x="555"/>
        <item x="447"/>
        <item x="507"/>
        <item x="307"/>
        <item x="262"/>
        <item x="76"/>
        <item x="102"/>
        <item x="444"/>
        <item x="216"/>
        <item x="114"/>
        <item x="464"/>
        <item x="269"/>
        <item x="11"/>
        <item x="27"/>
        <item x="251"/>
        <item x="163"/>
        <item x="180"/>
        <item x="597"/>
        <item x="179"/>
        <item x="363"/>
        <item x="26"/>
        <item x="288"/>
        <item x="512"/>
        <item x="64"/>
        <item x="538"/>
        <item x="411"/>
        <item x="116"/>
        <item x="568"/>
        <item x="322"/>
        <item x="227"/>
        <item x="169"/>
        <item x="523"/>
        <item x="250"/>
        <item x="402"/>
        <item x="32"/>
        <item x="432"/>
        <item x="162"/>
        <item x="149"/>
        <item x="462"/>
        <item x="291"/>
        <item x="562"/>
        <item x="52"/>
        <item x="50"/>
        <item x="79"/>
        <item x="308"/>
        <item x="224"/>
        <item x="357"/>
        <item x="439"/>
        <item x="143"/>
        <item x="312"/>
        <item x="108"/>
        <item x="292"/>
        <item x="124"/>
        <item x="242"/>
        <item x="193"/>
        <item x="510"/>
        <item x="236"/>
        <item x="46"/>
        <item x="595"/>
        <item x="148"/>
        <item x="588"/>
        <item x="435"/>
        <item x="238"/>
        <item x="557"/>
        <item x="66"/>
        <item x="121"/>
        <item x="168"/>
        <item x="584"/>
        <item x="188"/>
        <item x="62"/>
        <item x="135"/>
        <item x="67"/>
        <item x="110"/>
        <item x="31"/>
        <item x="266"/>
        <item x="321"/>
        <item x="81"/>
        <item x="213"/>
        <item x="580"/>
        <item x="10"/>
        <item x="196"/>
        <item x="111"/>
        <item x="2"/>
        <item x="371"/>
        <item x="6"/>
        <item x="84"/>
        <item x="395"/>
        <item x="63"/>
        <item x="551"/>
        <item x="40"/>
        <item x="434"/>
        <item x="484"/>
        <item x="44"/>
        <item x="390"/>
        <item x="463"/>
        <item x="96"/>
        <item x="398"/>
        <item x="190"/>
        <item x="4"/>
        <item x="182"/>
        <item x="369"/>
        <item x="55"/>
        <item x="533"/>
        <item x="532"/>
        <item x="145"/>
        <item x="161"/>
        <item x="345"/>
        <item x="72"/>
        <item x="479"/>
        <item x="56"/>
        <item x="219"/>
        <item x="356"/>
        <item x="360"/>
        <item x="417"/>
        <item x="319"/>
        <item x="582"/>
        <item x="78"/>
        <item x="151"/>
        <item x="150"/>
        <item x="422"/>
        <item x="74"/>
        <item x="338"/>
        <item x="397"/>
        <item x="589"/>
        <item x="382"/>
        <item x="203"/>
        <item x="446"/>
        <item x="498"/>
        <item x="539"/>
        <item x="68"/>
        <item x="23"/>
        <item x="122"/>
        <item x="427"/>
        <item x="3"/>
        <item x="409"/>
        <item x="405"/>
        <item x="53"/>
        <item x="20"/>
        <item x="298"/>
        <item x="488"/>
        <item x="155"/>
        <item x="431"/>
        <item x="335"/>
        <item x="290"/>
        <item x="339"/>
        <item x="152"/>
        <item x="534"/>
        <item x="375"/>
        <item x="425"/>
        <item x="109"/>
        <item x="300"/>
        <item x="246"/>
        <item x="212"/>
        <item x="473"/>
        <item x="43"/>
        <item x="268"/>
        <item x="594"/>
        <item x="294"/>
        <item x="126"/>
        <item x="257"/>
        <item x="239"/>
        <item x="278"/>
        <item x="301"/>
        <item x="547"/>
        <item x="296"/>
        <item x="442"/>
        <item x="566"/>
        <item x="140"/>
        <item x="541"/>
        <item x="450"/>
        <item x="542"/>
        <item x="47"/>
        <item x="293"/>
        <item x="261"/>
        <item x="60"/>
        <item x="113"/>
        <item x="166"/>
        <item x="167"/>
        <item x="233"/>
        <item x="282"/>
        <item x="19"/>
        <item x="297"/>
        <item x="15"/>
        <item x="164"/>
        <item x="359"/>
        <item x="420"/>
        <item x="340"/>
        <item x="387"/>
        <item x="21"/>
        <item x="500"/>
        <item x="481"/>
        <item x="461"/>
        <item x="243"/>
        <item x="38"/>
        <item x="394"/>
        <item x="283"/>
        <item x="590"/>
        <item x="147"/>
        <item x="470"/>
        <item x="327"/>
        <item x="118"/>
        <item x="138"/>
        <item x="366"/>
        <item x="518"/>
        <item x="478"/>
        <item x="503"/>
        <item x="304"/>
        <item x="146"/>
        <item x="186"/>
        <item x="426"/>
        <item x="343"/>
        <item x="106"/>
        <item x="214"/>
        <item x="575"/>
        <item x="567"/>
        <item x="336"/>
        <item x="58"/>
        <item x="489"/>
        <item x="317"/>
        <item x="127"/>
        <item x="554"/>
        <item x="578"/>
        <item x="527"/>
        <item x="519"/>
        <item x="326"/>
        <item x="475"/>
        <item x="385"/>
        <item x="75"/>
        <item x="28"/>
        <item x="573"/>
        <item x="544"/>
        <item x="205"/>
        <item x="234"/>
        <item x="358"/>
        <item x="577"/>
        <item x="176"/>
        <item x="556"/>
        <item x="396"/>
        <item x="156"/>
        <item x="45"/>
        <item x="160"/>
        <item x="529"/>
        <item x="0"/>
        <item x="521"/>
        <item x="97"/>
        <item x="128"/>
        <item x="563"/>
        <item x="157"/>
        <item x="506"/>
        <item x="361"/>
        <item x="316"/>
        <item x="93"/>
        <item x="95"/>
        <item x="501"/>
        <item x="419"/>
        <item x="206"/>
        <item x="277"/>
        <item x="252"/>
        <item x="362"/>
        <item x="226"/>
        <item x="414"/>
        <item x="70"/>
        <item x="244"/>
        <item x="309"/>
        <item x="77"/>
        <item x="185"/>
        <item x="513"/>
        <item x="377"/>
        <item x="314"/>
        <item x="208"/>
        <item x="228"/>
        <item x="320"/>
        <item x="218"/>
        <item x="107"/>
        <item x="471"/>
        <item x="123"/>
        <item x="373"/>
        <item x="141"/>
        <item x="287"/>
        <item x="59"/>
        <item x="380"/>
        <item x="452"/>
        <item x="305"/>
        <item x="543"/>
        <item x="581"/>
        <item x="183"/>
        <item x="154"/>
        <item x="263"/>
        <item x="571"/>
        <item x="404"/>
        <item x="302"/>
        <item x="560"/>
        <item x="16"/>
        <item x="511"/>
        <item x="210"/>
        <item x="220"/>
        <item x="324"/>
        <item x="474"/>
        <item x="585"/>
        <item x="87"/>
        <item x="526"/>
        <item x="524"/>
        <item x="175"/>
        <item x="8"/>
        <item x="92"/>
        <item x="29"/>
        <item x="458"/>
        <item x="561"/>
        <item t="default"/>
      </items>
    </pivotField>
    <pivotField showAll="0"/>
    <pivotField showAll="0"/>
    <pivotField showAll="0"/>
    <pivotField showAll="0"/>
    <pivotField showAll="0"/>
    <pivotField numFmtId="164" showAll="0"/>
    <pivotField dataField="1"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6"/>
  </rowFields>
  <rowItems count="10">
    <i>
      <x v="26"/>
    </i>
    <i>
      <x v="71"/>
    </i>
    <i>
      <x v="75"/>
    </i>
    <i>
      <x v="213"/>
    </i>
    <i>
      <x v="295"/>
    </i>
    <i>
      <x v="298"/>
    </i>
    <i>
      <x v="332"/>
    </i>
    <i>
      <x v="360"/>
    </i>
    <i>
      <x v="437"/>
    </i>
    <i>
      <x v="521"/>
    </i>
  </rowItems>
  <colItems count="1">
    <i/>
  </colItems>
  <dataFields count="1">
    <dataField name="Revenue" fld="23" baseField="0" baseItem="0" numFmtId="164"/>
  </dataFields>
  <formats count="6">
    <format dxfId="5">
      <pivotArea field="16" type="button" dataOnly="0" labelOnly="1" outline="0" axis="axisRow" fieldPosition="0"/>
    </format>
    <format dxfId="4">
      <pivotArea dataOnly="0" labelOnly="1" outline="0" axis="axisValues" fieldPosition="0"/>
    </format>
    <format dxfId="3">
      <pivotArea field="16" type="button" dataOnly="0" labelOnly="1" outline="0" axis="axisRow" fieldPosition="0"/>
    </format>
    <format dxfId="2">
      <pivotArea dataOnly="0" labelOnly="1" outline="0" axis="axisValues" fieldPosition="0"/>
    </format>
    <format dxfId="1">
      <pivotArea field="16" type="button" dataOnly="0" labelOnly="1" outline="0" axis="axisRow" fieldPosition="0"/>
    </format>
    <format dxfId="0">
      <pivotArea dataOnly="0" labelOnly="1" outline="0" axis="axisValues" fieldPosition="0"/>
    </format>
  </formats>
  <pivotTableStyleInfo name="PivotStyleLight15" showRowHeaders="1" showColHeaders="1" showRowStripes="1" showColStripes="0" showLastColumn="1"/>
  <filters count="1">
    <filter fld="16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50FF0-4001-4E43-9554-BF733526E946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 rowHeaderCaption="Branches">
  <location ref="B14:C24" firstHeaderRow="1" firstDataRow="1" firstDataCol="1"/>
  <pivotFields count="38">
    <pivotField showAll="0"/>
    <pivotField showAll="0"/>
    <pivotField showAll="0"/>
    <pivotField numFmtId="14" showAll="0">
      <items count="491">
        <item x="434"/>
        <item x="406"/>
        <item x="479"/>
        <item x="394"/>
        <item x="300"/>
        <item x="294"/>
        <item x="292"/>
        <item x="212"/>
        <item x="125"/>
        <item x="109"/>
        <item x="459"/>
        <item x="71"/>
        <item x="437"/>
        <item x="414"/>
        <item x="236"/>
        <item x="330"/>
        <item x="148"/>
        <item x="194"/>
        <item x="277"/>
        <item x="262"/>
        <item x="309"/>
        <item x="349"/>
        <item x="317"/>
        <item x="28"/>
        <item x="438"/>
        <item x="198"/>
        <item x="374"/>
        <item x="402"/>
        <item x="17"/>
        <item x="202"/>
        <item x="359"/>
        <item x="369"/>
        <item x="372"/>
        <item x="158"/>
        <item x="25"/>
        <item x="181"/>
        <item x="386"/>
        <item x="447"/>
        <item x="209"/>
        <item x="258"/>
        <item x="246"/>
        <item x="231"/>
        <item x="346"/>
        <item x="451"/>
        <item x="72"/>
        <item x="63"/>
        <item x="361"/>
        <item x="365"/>
        <item x="170"/>
        <item x="60"/>
        <item x="488"/>
        <item x="314"/>
        <item x="460"/>
        <item x="463"/>
        <item x="384"/>
        <item x="456"/>
        <item x="427"/>
        <item x="6"/>
        <item x="248"/>
        <item x="160"/>
        <item x="97"/>
        <item x="46"/>
        <item x="16"/>
        <item x="88"/>
        <item x="62"/>
        <item x="80"/>
        <item x="95"/>
        <item x="141"/>
        <item x="51"/>
        <item x="217"/>
        <item x="21"/>
        <item x="263"/>
        <item x="272"/>
        <item x="135"/>
        <item x="422"/>
        <item x="1"/>
        <item x="185"/>
        <item x="69"/>
        <item x="413"/>
        <item x="243"/>
        <item x="157"/>
        <item x="146"/>
        <item x="397"/>
        <item x="239"/>
        <item x="24"/>
        <item x="228"/>
        <item x="3"/>
        <item x="36"/>
        <item x="415"/>
        <item x="318"/>
        <item x="280"/>
        <item x="35"/>
        <item x="478"/>
        <item x="289"/>
        <item x="180"/>
        <item x="340"/>
        <item x="481"/>
        <item x="489"/>
        <item x="237"/>
        <item x="468"/>
        <item x="42"/>
        <item x="429"/>
        <item x="49"/>
        <item x="316"/>
        <item x="352"/>
        <item x="7"/>
        <item x="188"/>
        <item x="304"/>
        <item x="234"/>
        <item x="260"/>
        <item x="226"/>
        <item x="61"/>
        <item x="227"/>
        <item x="287"/>
        <item x="424"/>
        <item x="186"/>
        <item x="328"/>
        <item x="8"/>
        <item x="67"/>
        <item x="466"/>
        <item x="267"/>
        <item x="319"/>
        <item x="150"/>
        <item x="47"/>
        <item x="168"/>
        <item x="9"/>
        <item x="12"/>
        <item x="266"/>
        <item x="13"/>
        <item x="291"/>
        <item x="129"/>
        <item x="313"/>
        <item x="78"/>
        <item x="200"/>
        <item x="193"/>
        <item x="196"/>
        <item x="110"/>
        <item x="387"/>
        <item x="256"/>
        <item x="55"/>
        <item x="19"/>
        <item x="175"/>
        <item x="373"/>
        <item x="439"/>
        <item x="455"/>
        <item x="89"/>
        <item x="2"/>
        <item x="255"/>
        <item x="401"/>
        <item x="223"/>
        <item x="335"/>
        <item x="115"/>
        <item x="134"/>
        <item x="4"/>
        <item x="15"/>
        <item x="176"/>
        <item x="333"/>
        <item x="85"/>
        <item x="403"/>
        <item x="326"/>
        <item x="65"/>
        <item x="104"/>
        <item x="345"/>
        <item x="142"/>
        <item x="189"/>
        <item x="210"/>
        <item x="152"/>
        <item x="207"/>
        <item x="208"/>
        <item x="50"/>
        <item x="327"/>
        <item x="92"/>
        <item x="281"/>
        <item x="199"/>
        <item x="183"/>
        <item x="191"/>
        <item x="23"/>
        <item x="324"/>
        <item x="219"/>
        <item x="98"/>
        <item x="132"/>
        <item x="362"/>
        <item x="367"/>
        <item x="371"/>
        <item x="187"/>
        <item x="321"/>
        <item x="467"/>
        <item x="84"/>
        <item x="423"/>
        <item x="325"/>
        <item x="32"/>
        <item x="446"/>
        <item x="242"/>
        <item x="250"/>
        <item x="235"/>
        <item x="265"/>
        <item x="449"/>
        <item x="156"/>
        <item x="410"/>
        <item x="41"/>
        <item x="348"/>
        <item x="140"/>
        <item x="64"/>
        <item x="100"/>
        <item x="86"/>
        <item x="171"/>
        <item x="322"/>
        <item x="329"/>
        <item x="334"/>
        <item x="111"/>
        <item x="306"/>
        <item x="360"/>
        <item x="426"/>
        <item x="396"/>
        <item x="81"/>
        <item x="315"/>
        <item x="29"/>
        <item x="214"/>
        <item x="418"/>
        <item x="441"/>
        <item x="164"/>
        <item x="155"/>
        <item x="118"/>
        <item x="112"/>
        <item x="285"/>
        <item x="458"/>
        <item x="34"/>
        <item x="26"/>
        <item x="102"/>
        <item x="91"/>
        <item x="90"/>
        <item x="450"/>
        <item x="137"/>
        <item x="409"/>
        <item x="139"/>
        <item x="79"/>
        <item x="303"/>
        <item x="224"/>
        <item x="192"/>
        <item x="149"/>
        <item x="442"/>
        <item x="375"/>
        <item x="206"/>
        <item x="68"/>
        <item x="213"/>
        <item x="14"/>
        <item x="290"/>
        <item x="363"/>
        <item x="341"/>
        <item x="178"/>
        <item x="74"/>
        <item x="480"/>
        <item x="378"/>
        <item x="120"/>
        <item x="270"/>
        <item x="310"/>
        <item x="364"/>
        <item x="75"/>
        <item x="163"/>
        <item x="358"/>
        <item x="347"/>
        <item x="20"/>
        <item x="138"/>
        <item x="70"/>
        <item x="408"/>
        <item x="40"/>
        <item x="101"/>
        <item x="151"/>
        <item x="203"/>
        <item x="286"/>
        <item x="311"/>
        <item x="376"/>
        <item x="282"/>
        <item x="77"/>
        <item x="229"/>
        <item x="307"/>
        <item x="232"/>
        <item x="407"/>
        <item x="195"/>
        <item x="241"/>
        <item x="355"/>
        <item x="445"/>
        <item x="475"/>
        <item x="323"/>
        <item x="93"/>
        <item x="220"/>
        <item x="279"/>
        <item x="247"/>
        <item x="144"/>
        <item x="444"/>
        <item x="173"/>
        <item x="218"/>
        <item x="388"/>
        <item x="124"/>
        <item x="288"/>
        <item x="393"/>
        <item x="483"/>
        <item x="417"/>
        <item x="381"/>
        <item x="83"/>
        <item x="238"/>
        <item x="448"/>
        <item x="99"/>
        <item x="113"/>
        <item x="435"/>
        <item x="284"/>
        <item x="301"/>
        <item x="22"/>
        <item x="273"/>
        <item x="464"/>
        <item x="305"/>
        <item x="366"/>
        <item x="126"/>
        <item x="391"/>
        <item x="383"/>
        <item x="271"/>
        <item x="165"/>
        <item x="332"/>
        <item x="382"/>
        <item x="278"/>
        <item x="221"/>
        <item x="296"/>
        <item x="31"/>
        <item x="122"/>
        <item x="436"/>
        <item x="59"/>
        <item x="487"/>
        <item x="244"/>
        <item x="249"/>
        <item x="161"/>
        <item x="33"/>
        <item x="339"/>
        <item x="428"/>
        <item x="179"/>
        <item x="116"/>
        <item x="73"/>
        <item x="473"/>
        <item x="252"/>
        <item x="357"/>
        <item x="76"/>
        <item x="182"/>
        <item x="331"/>
        <item x="337"/>
        <item x="344"/>
        <item x="433"/>
        <item x="127"/>
        <item x="380"/>
        <item x="45"/>
        <item x="398"/>
        <item x="169"/>
        <item x="145"/>
        <item x="297"/>
        <item x="245"/>
        <item x="469"/>
        <item x="105"/>
        <item x="107"/>
        <item x="377"/>
        <item x="312"/>
        <item x="216"/>
        <item x="39"/>
        <item x="474"/>
        <item x="131"/>
        <item x="48"/>
        <item x="11"/>
        <item x="18"/>
        <item x="240"/>
        <item x="342"/>
        <item x="295"/>
        <item x="233"/>
        <item x="471"/>
        <item x="225"/>
        <item x="476"/>
        <item x="43"/>
        <item x="283"/>
        <item x="153"/>
        <item x="389"/>
        <item x="184"/>
        <item x="121"/>
        <item x="457"/>
        <item x="87"/>
        <item x="462"/>
        <item x="167"/>
        <item x="308"/>
        <item x="117"/>
        <item x="159"/>
        <item x="432"/>
        <item x="452"/>
        <item x="472"/>
        <item x="119"/>
        <item x="268"/>
        <item x="154"/>
        <item x="336"/>
        <item x="130"/>
        <item x="38"/>
        <item x="253"/>
        <item x="204"/>
        <item x="37"/>
        <item x="230"/>
        <item x="215"/>
        <item x="197"/>
        <item x="94"/>
        <item x="190"/>
        <item x="143"/>
        <item x="392"/>
        <item x="259"/>
        <item x="147"/>
        <item x="390"/>
        <item x="343"/>
        <item x="177"/>
        <item x="338"/>
        <item x="44"/>
        <item x="254"/>
        <item x="264"/>
        <item x="58"/>
        <item x="0"/>
        <item x="399"/>
        <item x="405"/>
        <item x="166"/>
        <item x="261"/>
        <item x="275"/>
        <item x="205"/>
        <item x="172"/>
        <item x="416"/>
        <item x="351"/>
        <item x="293"/>
        <item x="136"/>
        <item x="128"/>
        <item x="425"/>
        <item x="440"/>
        <item x="421"/>
        <item x="251"/>
        <item x="276"/>
        <item x="96"/>
        <item x="350"/>
        <item x="211"/>
        <item x="430"/>
        <item x="269"/>
        <item x="257"/>
        <item x="298"/>
        <item x="123"/>
        <item x="470"/>
        <item x="411"/>
        <item x="477"/>
        <item x="354"/>
        <item x="320"/>
        <item x="82"/>
        <item x="133"/>
        <item x="395"/>
        <item x="302"/>
        <item x="10"/>
        <item x="27"/>
        <item x="108"/>
        <item x="56"/>
        <item x="379"/>
        <item x="52"/>
        <item x="222"/>
        <item x="454"/>
        <item x="5"/>
        <item x="443"/>
        <item x="103"/>
        <item x="274"/>
        <item x="465"/>
        <item x="66"/>
        <item x="106"/>
        <item x="385"/>
        <item x="368"/>
        <item x="461"/>
        <item x="201"/>
        <item x="30"/>
        <item x="420"/>
        <item x="114"/>
        <item x="400"/>
        <item x="453"/>
        <item x="485"/>
        <item x="53"/>
        <item x="370"/>
        <item x="54"/>
        <item x="299"/>
        <item x="356"/>
        <item x="162"/>
        <item x="404"/>
        <item x="482"/>
        <item x="484"/>
        <item x="431"/>
        <item x="57"/>
        <item x="486"/>
        <item x="419"/>
        <item x="353"/>
        <item x="412"/>
        <item x="174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 measureFilter="1">
      <items count="602">
        <item x="189"/>
        <item x="587"/>
        <item x="286"/>
        <item x="299"/>
        <item x="570"/>
        <item x="25"/>
        <item x="90"/>
        <item x="391"/>
        <item x="437"/>
        <item x="413"/>
        <item x="103"/>
        <item x="482"/>
        <item x="346"/>
        <item x="485"/>
        <item x="281"/>
        <item x="170"/>
        <item x="240"/>
        <item x="112"/>
        <item x="514"/>
        <item x="276"/>
        <item x="376"/>
        <item x="54"/>
        <item x="408"/>
        <item x="71"/>
        <item x="181"/>
        <item x="550"/>
        <item x="579"/>
        <item x="241"/>
        <item x="22"/>
        <item x="392"/>
        <item x="418"/>
        <item x="415"/>
        <item x="194"/>
        <item x="174"/>
        <item x="378"/>
        <item x="502"/>
        <item x="400"/>
        <item x="496"/>
        <item x="348"/>
        <item x="91"/>
        <item x="379"/>
        <item x="100"/>
        <item x="350"/>
        <item x="367"/>
        <item x="130"/>
        <item x="374"/>
        <item x="499"/>
        <item x="215"/>
        <item x="598"/>
        <item x="83"/>
        <item x="457"/>
        <item x="311"/>
        <item x="460"/>
        <item x="231"/>
        <item x="313"/>
        <item x="315"/>
        <item x="48"/>
        <item x="399"/>
        <item x="330"/>
        <item x="248"/>
        <item x="516"/>
        <item x="323"/>
        <item x="440"/>
        <item x="591"/>
        <item x="504"/>
        <item x="467"/>
        <item x="303"/>
        <item x="256"/>
        <item x="158"/>
        <item x="120"/>
        <item x="384"/>
        <item x="472"/>
        <item x="117"/>
        <item x="12"/>
        <item x="125"/>
        <item x="535"/>
        <item x="505"/>
        <item x="1"/>
        <item x="403"/>
        <item x="254"/>
        <item x="198"/>
        <item x="211"/>
        <item x="531"/>
        <item x="407"/>
        <item x="159"/>
        <item x="583"/>
        <item x="35"/>
        <item x="438"/>
        <item x="232"/>
        <item x="171"/>
        <item x="383"/>
        <item x="173"/>
        <item x="144"/>
        <item x="495"/>
        <item x="284"/>
        <item x="133"/>
        <item x="202"/>
        <item x="596"/>
        <item x="328"/>
        <item x="331"/>
        <item x="245"/>
        <item x="222"/>
        <item x="14"/>
        <item x="199"/>
        <item x="428"/>
        <item x="545"/>
        <item x="13"/>
        <item x="333"/>
        <item x="230"/>
        <item x="209"/>
        <item x="259"/>
        <item x="370"/>
        <item x="334"/>
        <item x="237"/>
        <item x="88"/>
        <item x="525"/>
        <item x="104"/>
        <item x="34"/>
        <item x="200"/>
        <item x="18"/>
        <item x="9"/>
        <item x="99"/>
        <item x="453"/>
        <item x="61"/>
        <item x="349"/>
        <item x="207"/>
        <item x="225"/>
        <item x="522"/>
        <item x="455"/>
        <item x="279"/>
        <item x="480"/>
        <item x="131"/>
        <item x="558"/>
        <item x="89"/>
        <item x="37"/>
        <item x="476"/>
        <item x="423"/>
        <item x="600"/>
        <item x="364"/>
        <item x="65"/>
        <item x="51"/>
        <item x="572"/>
        <item x="492"/>
        <item x="310"/>
        <item x="451"/>
        <item x="115"/>
        <item x="416"/>
        <item x="280"/>
        <item x="33"/>
        <item x="306"/>
        <item x="39"/>
        <item x="82"/>
        <item x="586"/>
        <item x="508"/>
        <item x="454"/>
        <item x="509"/>
        <item x="285"/>
        <item x="341"/>
        <item x="94"/>
        <item x="289"/>
        <item x="433"/>
        <item x="255"/>
        <item x="517"/>
        <item x="85"/>
        <item x="548"/>
        <item x="24"/>
        <item x="559"/>
        <item x="537"/>
        <item x="325"/>
        <item x="352"/>
        <item x="368"/>
        <item x="271"/>
        <item x="355"/>
        <item x="443"/>
        <item x="565"/>
        <item x="342"/>
        <item x="178"/>
        <item x="139"/>
        <item x="344"/>
        <item x="520"/>
        <item x="265"/>
        <item x="365"/>
        <item x="381"/>
        <item x="549"/>
        <item x="273"/>
        <item x="223"/>
        <item x="204"/>
        <item x="129"/>
        <item x="184"/>
        <item x="410"/>
        <item x="546"/>
        <item x="86"/>
        <item x="592"/>
        <item x="459"/>
        <item x="272"/>
        <item x="98"/>
        <item x="515"/>
        <item x="353"/>
        <item x="295"/>
        <item x="386"/>
        <item x="172"/>
        <item x="491"/>
        <item x="497"/>
        <item x="569"/>
        <item x="253"/>
        <item x="17"/>
        <item x="421"/>
        <item x="337"/>
        <item x="192"/>
        <item x="351"/>
        <item x="540"/>
        <item x="275"/>
        <item x="372"/>
        <item x="165"/>
        <item x="132"/>
        <item x="80"/>
        <item x="393"/>
        <item x="553"/>
        <item x="468"/>
        <item x="197"/>
        <item x="217"/>
        <item x="574"/>
        <item x="41"/>
        <item x="406"/>
        <item x="195"/>
        <item x="270"/>
        <item x="354"/>
        <item x="142"/>
        <item x="347"/>
        <item x="494"/>
        <item x="36"/>
        <item x="389"/>
        <item x="564"/>
        <item x="5"/>
        <item x="576"/>
        <item x="134"/>
        <item x="235"/>
        <item x="449"/>
        <item x="101"/>
        <item x="187"/>
        <item x="486"/>
        <item x="332"/>
        <item x="528"/>
        <item x="137"/>
        <item x="441"/>
        <item x="7"/>
        <item x="221"/>
        <item x="388"/>
        <item x="466"/>
        <item x="49"/>
        <item x="430"/>
        <item x="429"/>
        <item x="329"/>
        <item x="153"/>
        <item x="30"/>
        <item x="465"/>
        <item x="493"/>
        <item x="401"/>
        <item x="258"/>
        <item x="201"/>
        <item x="136"/>
        <item x="42"/>
        <item x="264"/>
        <item x="469"/>
        <item x="599"/>
        <item x="448"/>
        <item x="177"/>
        <item x="445"/>
        <item x="536"/>
        <item x="73"/>
        <item x="69"/>
        <item x="593"/>
        <item x="267"/>
        <item x="456"/>
        <item x="412"/>
        <item x="57"/>
        <item x="477"/>
        <item x="436"/>
        <item x="552"/>
        <item x="318"/>
        <item x="483"/>
        <item x="530"/>
        <item x="229"/>
        <item x="249"/>
        <item x="424"/>
        <item x="274"/>
        <item x="247"/>
        <item x="105"/>
        <item x="260"/>
        <item x="119"/>
        <item x="487"/>
        <item x="490"/>
        <item x="191"/>
        <item x="555"/>
        <item x="447"/>
        <item x="507"/>
        <item x="307"/>
        <item x="262"/>
        <item x="76"/>
        <item x="102"/>
        <item x="444"/>
        <item x="216"/>
        <item x="114"/>
        <item x="464"/>
        <item x="269"/>
        <item x="11"/>
        <item x="27"/>
        <item x="251"/>
        <item x="163"/>
        <item x="180"/>
        <item x="597"/>
        <item x="179"/>
        <item x="363"/>
        <item x="26"/>
        <item x="288"/>
        <item x="512"/>
        <item x="64"/>
        <item x="538"/>
        <item x="411"/>
        <item x="116"/>
        <item x="568"/>
        <item x="322"/>
        <item x="227"/>
        <item x="169"/>
        <item x="523"/>
        <item x="250"/>
        <item x="402"/>
        <item x="32"/>
        <item x="432"/>
        <item x="162"/>
        <item x="149"/>
        <item x="462"/>
        <item x="291"/>
        <item x="562"/>
        <item x="52"/>
        <item x="50"/>
        <item x="79"/>
        <item x="308"/>
        <item x="224"/>
        <item x="357"/>
        <item x="439"/>
        <item x="143"/>
        <item x="312"/>
        <item x="108"/>
        <item x="292"/>
        <item x="124"/>
        <item x="242"/>
        <item x="193"/>
        <item x="510"/>
        <item x="236"/>
        <item x="46"/>
        <item x="595"/>
        <item x="148"/>
        <item x="588"/>
        <item x="435"/>
        <item x="238"/>
        <item x="557"/>
        <item x="66"/>
        <item x="121"/>
        <item x="168"/>
        <item x="584"/>
        <item x="188"/>
        <item x="62"/>
        <item x="135"/>
        <item x="67"/>
        <item x="110"/>
        <item x="31"/>
        <item x="266"/>
        <item x="321"/>
        <item x="81"/>
        <item x="213"/>
        <item x="580"/>
        <item x="10"/>
        <item x="196"/>
        <item x="111"/>
        <item x="2"/>
        <item x="371"/>
        <item x="6"/>
        <item x="84"/>
        <item x="395"/>
        <item x="63"/>
        <item x="551"/>
        <item x="40"/>
        <item x="434"/>
        <item x="484"/>
        <item x="44"/>
        <item x="390"/>
        <item x="463"/>
        <item x="96"/>
        <item x="398"/>
        <item x="190"/>
        <item x="4"/>
        <item x="182"/>
        <item x="369"/>
        <item x="55"/>
        <item x="533"/>
        <item x="532"/>
        <item x="145"/>
        <item x="161"/>
        <item x="345"/>
        <item x="72"/>
        <item x="479"/>
        <item x="56"/>
        <item x="219"/>
        <item x="356"/>
        <item x="360"/>
        <item x="417"/>
        <item x="319"/>
        <item x="582"/>
        <item x="78"/>
        <item x="151"/>
        <item x="150"/>
        <item x="422"/>
        <item x="74"/>
        <item x="338"/>
        <item x="397"/>
        <item x="589"/>
        <item x="382"/>
        <item x="203"/>
        <item x="446"/>
        <item x="498"/>
        <item x="539"/>
        <item x="68"/>
        <item x="23"/>
        <item x="122"/>
        <item x="427"/>
        <item x="3"/>
        <item x="409"/>
        <item x="405"/>
        <item x="53"/>
        <item x="20"/>
        <item x="298"/>
        <item x="488"/>
        <item x="155"/>
        <item x="431"/>
        <item x="335"/>
        <item x="290"/>
        <item x="339"/>
        <item x="152"/>
        <item x="534"/>
        <item x="375"/>
        <item x="425"/>
        <item x="109"/>
        <item x="300"/>
        <item x="246"/>
        <item x="212"/>
        <item x="473"/>
        <item x="43"/>
        <item x="268"/>
        <item x="594"/>
        <item x="294"/>
        <item x="126"/>
        <item x="257"/>
        <item x="239"/>
        <item x="278"/>
        <item x="301"/>
        <item x="547"/>
        <item x="296"/>
        <item x="442"/>
        <item x="566"/>
        <item x="140"/>
        <item x="541"/>
        <item x="450"/>
        <item x="542"/>
        <item x="47"/>
        <item x="293"/>
        <item x="261"/>
        <item x="60"/>
        <item x="113"/>
        <item x="166"/>
        <item x="167"/>
        <item x="233"/>
        <item x="282"/>
        <item x="19"/>
        <item x="297"/>
        <item x="15"/>
        <item x="164"/>
        <item x="359"/>
        <item x="420"/>
        <item x="340"/>
        <item x="387"/>
        <item x="21"/>
        <item x="500"/>
        <item x="481"/>
        <item x="461"/>
        <item x="243"/>
        <item x="38"/>
        <item x="394"/>
        <item x="283"/>
        <item x="590"/>
        <item x="147"/>
        <item x="470"/>
        <item x="327"/>
        <item x="118"/>
        <item x="138"/>
        <item x="366"/>
        <item x="518"/>
        <item x="478"/>
        <item x="503"/>
        <item x="304"/>
        <item x="146"/>
        <item x="186"/>
        <item x="426"/>
        <item x="343"/>
        <item x="106"/>
        <item x="214"/>
        <item x="575"/>
        <item x="567"/>
        <item x="336"/>
        <item x="58"/>
        <item x="489"/>
        <item x="317"/>
        <item x="127"/>
        <item x="554"/>
        <item x="578"/>
        <item x="527"/>
        <item x="519"/>
        <item x="326"/>
        <item x="475"/>
        <item x="385"/>
        <item x="75"/>
        <item x="28"/>
        <item x="573"/>
        <item x="544"/>
        <item x="205"/>
        <item x="234"/>
        <item x="358"/>
        <item x="577"/>
        <item x="176"/>
        <item x="556"/>
        <item x="396"/>
        <item x="156"/>
        <item x="45"/>
        <item x="160"/>
        <item x="529"/>
        <item x="0"/>
        <item x="521"/>
        <item x="97"/>
        <item x="128"/>
        <item x="563"/>
        <item x="157"/>
        <item x="506"/>
        <item x="361"/>
        <item x="316"/>
        <item x="93"/>
        <item x="95"/>
        <item x="501"/>
        <item x="419"/>
        <item x="206"/>
        <item x="277"/>
        <item x="252"/>
        <item x="362"/>
        <item x="226"/>
        <item x="414"/>
        <item x="70"/>
        <item x="244"/>
        <item x="309"/>
        <item x="77"/>
        <item x="185"/>
        <item x="513"/>
        <item x="377"/>
        <item x="314"/>
        <item x="208"/>
        <item x="228"/>
        <item x="320"/>
        <item x="218"/>
        <item x="107"/>
        <item x="471"/>
        <item x="123"/>
        <item x="373"/>
        <item x="141"/>
        <item x="287"/>
        <item x="59"/>
        <item x="380"/>
        <item x="452"/>
        <item x="305"/>
        <item x="543"/>
        <item x="581"/>
        <item x="183"/>
        <item x="154"/>
        <item x="263"/>
        <item x="571"/>
        <item x="404"/>
        <item x="302"/>
        <item x="560"/>
        <item x="16"/>
        <item x="511"/>
        <item x="210"/>
        <item x="220"/>
        <item x="324"/>
        <item x="474"/>
        <item x="585"/>
        <item x="87"/>
        <item x="526"/>
        <item x="524"/>
        <item x="175"/>
        <item x="8"/>
        <item x="92"/>
        <item x="29"/>
        <item x="458"/>
        <item x="561"/>
        <item t="default"/>
      </items>
    </pivotField>
    <pivotField showAll="0"/>
    <pivotField showAll="0"/>
    <pivotField showAll="0"/>
    <pivotField showAll="0"/>
    <pivotField showAll="0"/>
    <pivotField numFmtId="164" showAll="0"/>
    <pivotField dataField="1" numFmtId="164" showAll="0"/>
    <pivotField showAll="0"/>
    <pivotField numFmtId="1" showAll="0"/>
    <pivotField showAll="0"/>
    <pivotField numFmtId="1" showAll="0"/>
    <pivotField showAll="0"/>
    <pivotField numFmtId="1" showAll="0"/>
    <pivotField numFmtId="165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6"/>
  </rowFields>
  <rowItems count="10">
    <i>
      <x v="92"/>
    </i>
    <i>
      <x v="165"/>
    </i>
    <i>
      <x v="313"/>
    </i>
    <i>
      <x v="343"/>
    </i>
    <i>
      <x v="345"/>
    </i>
    <i>
      <x v="367"/>
    </i>
    <i>
      <x v="391"/>
    </i>
    <i>
      <x v="453"/>
    </i>
    <i>
      <x v="500"/>
    </i>
    <i>
      <x v="553"/>
    </i>
  </rowItems>
  <colItems count="1">
    <i/>
  </colItems>
  <dataFields count="1">
    <dataField name="Revenue" fld="23" baseField="0" baseItem="0" numFmtId="164"/>
  </dataFields>
  <formats count="6">
    <format dxfId="11">
      <pivotArea field="16" type="button" dataOnly="0" labelOnly="1" outline="0" axis="axisRow" fieldPosition="0"/>
    </format>
    <format dxfId="10">
      <pivotArea dataOnly="0" labelOnly="1" outline="0" axis="axisValues" fieldPosition="0"/>
    </format>
    <format dxfId="9">
      <pivotArea field="16" type="button" dataOnly="0" labelOnly="1" outline="0" axis="axisRow" fieldPosition="0"/>
    </format>
    <format dxfId="8">
      <pivotArea dataOnly="0" labelOnly="1" outline="0" axis="axisValues" fieldPosition="0"/>
    </format>
    <format dxfId="7">
      <pivotArea field="16" type="button" dataOnly="0" labelOnly="1" outline="0" axis="axisRow" fieldPosition="0"/>
    </format>
    <format dxfId="6">
      <pivotArea dataOnly="0" labelOnly="1" outline="0" axis="axisValues" fieldPosition="0"/>
    </format>
  </formats>
  <pivotTableStyleInfo name="PivotStyleLight1" showRowHeaders="1" showColHeaders="1" showRowStripes="1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1DA044-6FF9-4AD5-A080-ACF16FC6E381}" name="fin_table" displayName="fin_table" ref="A1:AI1002" totalsRowCount="1">
  <autoFilter ref="A1:AI1001" xr:uid="{371DA044-6FF9-4AD5-A080-ACF16FC6E381}"/>
  <tableColumns count="35">
    <tableColumn id="1" xr3:uid="{4EC9EFC6-7CB9-4565-8A1E-1A117F9D8411}" name="Transaction ID"/>
    <tableColumn id="2" xr3:uid="{EDF2B1E9-F337-4E4D-9302-EEAD6A52BC86}" name="Customer ID"/>
    <tableColumn id="3" xr3:uid="{12FA085E-264C-4DD4-99AE-1E0F1D774EB8}" name="Account Number"/>
    <tableColumn id="4" xr3:uid="{8DC280DD-766D-499B-99C2-55B60276246C}" name="Transaction Date" dataDxfId="93" totalsRowDxfId="92"/>
    <tableColumn id="29" xr3:uid="{D4464B51-5997-413E-868B-D9D3CE754FF3}" name="Day" dataDxfId="91" totalsRowDxfId="90">
      <calculatedColumnFormula>TEXT(D2, "DD")</calculatedColumnFormula>
    </tableColumn>
    <tableColumn id="30" xr3:uid="{CC1A5AEF-15BE-4A0F-A153-0D53205DDF95}" name="Month" dataDxfId="89" totalsRowDxfId="88">
      <calculatedColumnFormula>TEXT(D2, "MMM")</calculatedColumnFormula>
    </tableColumn>
    <tableColumn id="5" xr3:uid="{CA83E68D-13C4-4294-82ED-C80C5130C8ED}" name="Transaction Type" dataDxfId="87" totalsRowDxfId="86"/>
    <tableColumn id="6" xr3:uid="{51C096D5-C741-421E-80F2-5652AE9E776D}" name="Transaction Amount" dataDxfId="85" totalsRowDxfId="84" dataCellStyle="Currency"/>
    <tableColumn id="16" xr3:uid="{C57F3D6B-989D-43EB-BE2B-84918FF98045}" name=" Account Status" dataDxfId="83" totalsRowDxfId="82" dataCellStyle="Currency">
      <calculatedColumnFormula>IF(fin_table[[#This Row],[Account Balance]]&lt;20000,"Active", "Not Active")</calculatedColumnFormula>
    </tableColumn>
    <tableColumn id="7" xr3:uid="{E1048314-2998-4E15-8836-824CDD9BD212}" name="Account Balance" dataDxfId="81" totalsRowDxfId="80" dataCellStyle="Currency"/>
    <tableColumn id="15" xr3:uid="{2B51FFCA-D057-404E-A412-6C8F371170DF}" name="Account Level" dataDxfId="79" totalsRowDxfId="78" dataCellStyle="Currency">
      <calculatedColumnFormula>IF(J2&lt;10000, "Low", IF(J2&lt;50000, "Medium", "High"))</calculatedColumnFormula>
    </tableColumn>
    <tableColumn id="8" xr3:uid="{6FC376C5-5F00-4C9E-9FBF-CCE546F439E2}" name="Customer Name" dataDxfId="77" totalsRowDxfId="76"/>
    <tableColumn id="9" xr3:uid="{A153085E-A1C9-4A43-A4F7-0E0441A91F28}" name="Customer Age"/>
    <tableColumn id="21" xr3:uid="{6801C6D3-573F-4B5F-B967-B1F15500284C}" name="Customer Age Group" dataDxfId="75" totalsRowDxfId="74">
      <calculatedColumnFormula>IF(M2&lt;18, "Teenagers", IF(M2&lt;=25, "Young Adults", IF(M2&lt;=35, "Adults", IF(M2&lt;=45, "Middle-Aged", IF(M2&lt;=60, "Older Adults", "Seniors")))))</calculatedColumnFormula>
    </tableColumn>
    <tableColumn id="10" xr3:uid="{1B070054-EA30-461B-84AB-EF02E22B5AF6}" name="Customer Gender" dataDxfId="73" totalsRowDxfId="72"/>
    <tableColumn id="11" xr3:uid="{24293142-FC28-4DA5-8C90-1B7CE2FE395F}" name="Account Type" dataDxfId="71" totalsRowDxfId="70"/>
    <tableColumn id="12" xr3:uid="{E898E3EA-0ECA-45ED-978B-4AF5F3BA6466}" name="Branch Code"/>
    <tableColumn id="13" xr3:uid="{1A339B48-AF71-447A-9222-3F0C750D6D49}" name="Currency" dataDxfId="69" totalsRowDxfId="68"/>
    <tableColumn id="14" xr3:uid="{72D35021-E301-4CA5-B59B-589E35895826}" name="Transaction Status" dataDxfId="67" totalsRowDxfId="66"/>
    <tableColumn id="24" xr3:uid="{C9B74B8E-A00F-4B16-81C7-D9875C64692C}" name="Interest Rate" totalsRowFunction="max" dataDxfId="65" totalsRowDxfId="64"/>
    <tableColumn id="36" xr3:uid="{A1098281-1F9C-497C-A405-1E5D2CB00416}" name="Interest Rate(%)" totalsRowFunction="average" dataDxfId="63" totalsRowDxfId="62"/>
    <tableColumn id="37" xr3:uid="{E4803D00-2839-49A0-894A-137E641EA71C}" name="interest Rate level" dataDxfId="61" totalsRowDxfId="60">
      <calculatedColumnFormula>IF(fin_table[[#This Row],[Interest Rate(%)]]&gt;4,"high","low")</calculatedColumnFormula>
    </tableColumn>
    <tableColumn id="23" xr3:uid="{CA3C0A95-E894-4E8E-8EBA-FE82612B8B6D}" name="Loan Amount" totalsRowFunction="max" dataDxfId="59" totalsRowDxfId="58" dataCellStyle="Currency"/>
    <tableColumn id="27" xr3:uid="{2D4D758E-B2E1-43C9-8A3B-A2E19849B7A3}" name="Interest income" totalsRowFunction="max" dataDxfId="57" totalsRowDxfId="56" dataCellStyle="Currency">
      <calculatedColumnFormula>fin_table[[#This Row],[Interest Rate]]*fin_table[[#This Row],[Loan Amount]]</calculatedColumnFormula>
    </tableColumn>
    <tableColumn id="22" xr3:uid="{78F4219F-306C-44DB-A0BD-F683C2078129}" name="Loan Duration (Years)" dataDxfId="55" totalsRowDxfId="54"/>
    <tableColumn id="18" xr3:uid="{6B40D834-72CB-4491-881B-F3F6CB85B4AB}" name="Credit Score" dataDxfId="53" totalsRowDxfId="52"/>
    <tableColumn id="17" xr3:uid="{7FE6936F-3E71-42FE-8D75-8DA45DF8A6E8}" name="Credit Score Distribution" dataDxfId="51" totalsRowDxfId="50">
      <calculatedColumnFormula>IF(Z2&lt;580, "Poor", IF(Z2&lt;670, "Fair", IF(Z2&lt;740, "Good", IF(Z2&lt;800, "Very Good", "Excellent"))))</calculatedColumnFormula>
    </tableColumn>
    <tableColumn id="26" xr3:uid="{52248A7E-5727-49B0-8D82-83C3C69BBB2E}" name="Loan Defaulters" dataDxfId="49" totalsRowDxfId="48">
      <calculatedColumnFormula array="1">_xlfn.IFS(fin_table[[#This Row],[Transaction Status]]="Failed", 1, fin_table[[#This Row],[Transaction Status]]="Completed",0,fin_table[[#This Row],[Transaction Status]]="Pending",2)</calculatedColumnFormula>
    </tableColumn>
    <tableColumn id="38" xr3:uid="{B532C21F-CEDB-40A6-8489-14915BD9F37C}" name="loan Default " totalsRowFunction="count" dataDxfId="47" totalsRowDxfId="46">
      <calculatedColumnFormula>IF(fin_table[[#This Row],[Loan Defaulters]]=1,"Default", "Good")</calculatedColumnFormula>
    </tableColumn>
    <tableColumn id="31" xr3:uid="{A40E6250-BC28-4BDD-99BC-1C3655F12B74}" name="Credit Score (numbers)" dataDxfId="45" totalsRowDxfId="44">
      <calculatedColumnFormula>IF(AA2="Poor", 1, IF(AA2="Fair", 2, IF(AA2="Good", 3, IF(AA2="Very Good", 4, IF(AA2="Excellent", 5, "")))))</calculatedColumnFormula>
    </tableColumn>
    <tableColumn id="19" xr3:uid="{CEEDEBBE-A1F0-46D9-BEB7-C45169CD245F}" name="Monthly Income" dataDxfId="43" totalsRowDxfId="42"/>
    <tableColumn id="40" xr3:uid="{46606BF1-A241-4AC3-B44B-E202B0609BBD}" name="Income Category" dataDxfId="41" totalsRowDxfId="40">
      <calculatedColumnFormula>IF(fin_table[[#This Row],[Monthly Income]]&lt;3000, "Low Income", IF(fin_table[[#This Row],[Monthly Income]]&lt;=5000, "Middle Income", "High Income"))</calculatedColumnFormula>
    </tableColumn>
    <tableColumn id="20" xr3:uid="{289484BB-398C-4960-B358-4F881A9BA7F5}" name="Employment Status"/>
    <tableColumn id="25" xr3:uid="{BD6A1430-2700-4E2C-B0BA-E61CD5F7EA33}" name="Loan Status" dataDxfId="39" totalsRowDxfId="38"/>
    <tableColumn id="39" xr3:uid="{BB8DA326-C8BC-4974-B2FC-FE0D04C460AA}" name="Risk Level" totalsRowFunction="max" dataDxfId="37">
      <calculatedColumnFormula>IF(AND(W2&gt;33000, Z2&lt;600), "High-Risk", "Low-Risk")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33458A2-541F-45BC-8513-E7EE23371FA3}">
  <we:reference id="wa200005502" version="1.0.0.11" store="en-US" storeType="OMEX"/>
  <we:alternateReferences>
    <we:reference id="wa200005502" version="1.0.0.11" store="wa200005502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4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74CA-FFF8-47B6-80C9-ABD3CE9784F5}">
  <sheetPr>
    <tabColor theme="0" tint="-0.34998626667073579"/>
  </sheetPr>
  <dimension ref="A1:T1001"/>
  <sheetViews>
    <sheetView zoomScale="94" workbookViewId="0">
      <selection activeCell="T1" sqref="A1:T1"/>
    </sheetView>
  </sheetViews>
  <sheetFormatPr defaultRowHeight="14.5" x14ac:dyDescent="0.35"/>
  <cols>
    <col min="1" max="1" width="14.81640625" customWidth="1"/>
    <col min="2" max="2" width="13.1796875" customWidth="1"/>
    <col min="3" max="3" width="16.81640625" customWidth="1"/>
    <col min="4" max="5" width="16.90625" customWidth="1"/>
    <col min="6" max="6" width="19.54296875" customWidth="1"/>
    <col min="7" max="7" width="16.81640625" customWidth="1"/>
    <col min="8" max="8" width="16.26953125" customWidth="1"/>
    <col min="9" max="9" width="14.36328125" customWidth="1"/>
    <col min="10" max="10" width="17.453125" customWidth="1"/>
    <col min="11" max="11" width="14" customWidth="1"/>
    <col min="12" max="12" width="13.453125" customWidth="1"/>
    <col min="13" max="13" width="10.453125" customWidth="1"/>
    <col min="14" max="14" width="18.36328125" customWidth="1"/>
    <col min="15" max="15" width="16.6328125" customWidth="1"/>
    <col min="16" max="16" width="13.7265625" customWidth="1"/>
    <col min="17" max="17" width="20.7265625" customWidth="1"/>
    <col min="18" max="18" width="13.08984375" customWidth="1"/>
    <col min="19" max="19" width="14.54296875" customWidth="1"/>
    <col min="20" max="20" width="17.26953125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 t="s">
        <v>21</v>
      </c>
      <c r="C2" t="s">
        <v>22</v>
      </c>
      <c r="D2">
        <v>45069</v>
      </c>
      <c r="E2" t="s">
        <v>23</v>
      </c>
      <c r="F2">
        <v>5119.8100000000004</v>
      </c>
      <c r="G2">
        <v>27796.92</v>
      </c>
      <c r="H2" t="s">
        <v>24</v>
      </c>
      <c r="I2">
        <v>30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>
        <v>3.95</v>
      </c>
      <c r="R2">
        <v>459</v>
      </c>
      <c r="S2">
        <v>5918.52</v>
      </c>
      <c r="T2" t="s">
        <v>30</v>
      </c>
    </row>
    <row r="3" spans="1:20" x14ac:dyDescent="0.35">
      <c r="A3" t="s">
        <v>31</v>
      </c>
      <c r="B3" t="s">
        <v>32</v>
      </c>
      <c r="C3" t="s">
        <v>33</v>
      </c>
      <c r="D3">
        <v>44656</v>
      </c>
      <c r="E3" t="s">
        <v>34</v>
      </c>
      <c r="F3">
        <v>6021.32</v>
      </c>
      <c r="G3">
        <v>33863.1</v>
      </c>
      <c r="H3" t="s">
        <v>35</v>
      </c>
      <c r="I3">
        <v>32</v>
      </c>
      <c r="J3" t="s">
        <v>25</v>
      </c>
      <c r="K3" t="s">
        <v>36</v>
      </c>
      <c r="L3" t="s">
        <v>37</v>
      </c>
      <c r="M3" t="s">
        <v>38</v>
      </c>
      <c r="N3" t="s">
        <v>29</v>
      </c>
      <c r="O3">
        <v>3.41</v>
      </c>
      <c r="Q3">
        <v>8</v>
      </c>
      <c r="R3">
        <v>832</v>
      </c>
      <c r="S3">
        <v>4611.32</v>
      </c>
      <c r="T3" t="s">
        <v>30</v>
      </c>
    </row>
    <row r="4" spans="1:20" x14ac:dyDescent="0.35">
      <c r="A4" t="s">
        <v>39</v>
      </c>
      <c r="B4" t="s">
        <v>40</v>
      </c>
      <c r="C4" t="s">
        <v>41</v>
      </c>
      <c r="D4">
        <v>44743</v>
      </c>
      <c r="E4" t="s">
        <v>23</v>
      </c>
      <c r="F4">
        <v>430.5</v>
      </c>
      <c r="G4">
        <v>35342.51</v>
      </c>
      <c r="H4" t="s">
        <v>35</v>
      </c>
      <c r="I4">
        <v>44</v>
      </c>
      <c r="J4" t="s">
        <v>42</v>
      </c>
      <c r="K4" t="s">
        <v>26</v>
      </c>
      <c r="L4" t="s">
        <v>43</v>
      </c>
      <c r="M4" t="s">
        <v>28</v>
      </c>
      <c r="N4" t="s">
        <v>44</v>
      </c>
      <c r="O4">
        <v>3.62</v>
      </c>
      <c r="R4">
        <v>434</v>
      </c>
      <c r="S4">
        <v>12065.39</v>
      </c>
      <c r="T4" t="s">
        <v>45</v>
      </c>
    </row>
    <row r="5" spans="1:20" x14ac:dyDescent="0.35">
      <c r="A5" t="s">
        <v>46</v>
      </c>
      <c r="B5" t="s">
        <v>47</v>
      </c>
      <c r="C5" t="s">
        <v>48</v>
      </c>
      <c r="D5">
        <v>44668</v>
      </c>
      <c r="E5" t="s">
        <v>34</v>
      </c>
      <c r="F5">
        <v>3700.56</v>
      </c>
      <c r="G5">
        <v>10997.21</v>
      </c>
      <c r="H5" t="s">
        <v>49</v>
      </c>
      <c r="I5">
        <v>32</v>
      </c>
      <c r="J5" t="s">
        <v>25</v>
      </c>
      <c r="K5" t="s">
        <v>50</v>
      </c>
      <c r="L5" t="s">
        <v>51</v>
      </c>
      <c r="M5" t="s">
        <v>52</v>
      </c>
      <c r="N5" t="s">
        <v>29</v>
      </c>
      <c r="O5">
        <v>1.03</v>
      </c>
      <c r="P5">
        <v>48444.9</v>
      </c>
      <c r="R5">
        <v>410</v>
      </c>
      <c r="S5">
        <v>11263.51</v>
      </c>
      <c r="T5" t="s">
        <v>30</v>
      </c>
    </row>
    <row r="6" spans="1:20" x14ac:dyDescent="0.35">
      <c r="A6" t="s">
        <v>53</v>
      </c>
      <c r="B6" t="s">
        <v>54</v>
      </c>
      <c r="C6" t="s">
        <v>55</v>
      </c>
      <c r="D6">
        <v>44750</v>
      </c>
      <c r="E6" t="s">
        <v>56</v>
      </c>
      <c r="F6">
        <v>7353.09</v>
      </c>
      <c r="G6">
        <v>33045.71</v>
      </c>
      <c r="H6" t="s">
        <v>35</v>
      </c>
      <c r="I6">
        <v>45</v>
      </c>
      <c r="J6" t="s">
        <v>25</v>
      </c>
      <c r="K6" t="s">
        <v>36</v>
      </c>
      <c r="L6" t="s">
        <v>57</v>
      </c>
      <c r="M6" t="s">
        <v>38</v>
      </c>
      <c r="N6" t="s">
        <v>44</v>
      </c>
      <c r="O6">
        <v>4.71</v>
      </c>
      <c r="Q6">
        <v>5</v>
      </c>
      <c r="R6">
        <v>582</v>
      </c>
      <c r="S6">
        <v>10254.370000000001</v>
      </c>
      <c r="T6" t="s">
        <v>45</v>
      </c>
    </row>
    <row r="7" spans="1:20" x14ac:dyDescent="0.35">
      <c r="A7" t="s">
        <v>58</v>
      </c>
      <c r="B7" t="s">
        <v>59</v>
      </c>
      <c r="C7" t="s">
        <v>60</v>
      </c>
      <c r="D7">
        <v>45120</v>
      </c>
      <c r="E7" t="s">
        <v>34</v>
      </c>
      <c r="F7">
        <v>8221.74</v>
      </c>
      <c r="G7">
        <v>41100.11</v>
      </c>
      <c r="H7" t="s">
        <v>49</v>
      </c>
      <c r="I7">
        <v>54</v>
      </c>
      <c r="J7" t="s">
        <v>25</v>
      </c>
      <c r="K7" t="s">
        <v>36</v>
      </c>
      <c r="L7" t="s">
        <v>61</v>
      </c>
      <c r="M7" t="s">
        <v>38</v>
      </c>
      <c r="N7" t="s">
        <v>62</v>
      </c>
      <c r="O7">
        <v>1.27</v>
      </c>
      <c r="P7">
        <v>16947.46</v>
      </c>
      <c r="Q7">
        <v>20</v>
      </c>
      <c r="R7">
        <v>819</v>
      </c>
      <c r="S7">
        <v>7033.83</v>
      </c>
      <c r="T7" t="s">
        <v>63</v>
      </c>
    </row>
    <row r="8" spans="1:20" x14ac:dyDescent="0.35">
      <c r="A8" t="s">
        <v>64</v>
      </c>
      <c r="B8" t="s">
        <v>65</v>
      </c>
      <c r="C8" t="s">
        <v>66</v>
      </c>
      <c r="D8">
        <v>44635</v>
      </c>
      <c r="E8" t="s">
        <v>23</v>
      </c>
      <c r="F8">
        <v>3200.3</v>
      </c>
      <c r="G8">
        <v>3450.91</v>
      </c>
      <c r="H8" t="s">
        <v>49</v>
      </c>
      <c r="I8">
        <v>36</v>
      </c>
      <c r="J8" t="s">
        <v>42</v>
      </c>
      <c r="K8" t="s">
        <v>26</v>
      </c>
      <c r="L8" t="s">
        <v>67</v>
      </c>
      <c r="M8" t="s">
        <v>28</v>
      </c>
      <c r="N8" t="s">
        <v>29</v>
      </c>
      <c r="O8">
        <v>2.4700000000000002</v>
      </c>
      <c r="P8">
        <v>18616.650000000001</v>
      </c>
      <c r="Q8">
        <v>4</v>
      </c>
      <c r="R8">
        <v>493</v>
      </c>
      <c r="S8">
        <v>13817.53</v>
      </c>
      <c r="T8" t="s">
        <v>30</v>
      </c>
    </row>
    <row r="9" spans="1:20" x14ac:dyDescent="0.35">
      <c r="A9" t="s">
        <v>68</v>
      </c>
      <c r="B9" t="s">
        <v>69</v>
      </c>
      <c r="C9" t="s">
        <v>70</v>
      </c>
      <c r="D9">
        <v>44688</v>
      </c>
      <c r="E9" t="s">
        <v>71</v>
      </c>
      <c r="F9">
        <v>8006.07</v>
      </c>
      <c r="G9">
        <v>45664.54</v>
      </c>
      <c r="H9" t="s">
        <v>49</v>
      </c>
      <c r="I9">
        <v>43</v>
      </c>
      <c r="J9" t="s">
        <v>25</v>
      </c>
      <c r="K9" t="s">
        <v>26</v>
      </c>
      <c r="L9" t="s">
        <v>72</v>
      </c>
      <c r="M9" t="s">
        <v>28</v>
      </c>
      <c r="N9" t="s">
        <v>44</v>
      </c>
      <c r="O9">
        <v>2.61</v>
      </c>
      <c r="Q9">
        <v>11</v>
      </c>
      <c r="R9">
        <v>346</v>
      </c>
      <c r="S9">
        <v>14603.92</v>
      </c>
      <c r="T9" t="s">
        <v>45</v>
      </c>
    </row>
    <row r="10" spans="1:20" x14ac:dyDescent="0.35">
      <c r="A10" t="s">
        <v>73</v>
      </c>
      <c r="B10" t="s">
        <v>74</v>
      </c>
      <c r="C10" t="s">
        <v>75</v>
      </c>
      <c r="D10">
        <v>44704</v>
      </c>
      <c r="E10" t="s">
        <v>34</v>
      </c>
      <c r="F10">
        <v>9680.7800000000007</v>
      </c>
      <c r="G10">
        <v>2445.6999999999998</v>
      </c>
      <c r="H10" t="s">
        <v>24</v>
      </c>
      <c r="I10">
        <v>69</v>
      </c>
      <c r="J10" t="s">
        <v>25</v>
      </c>
      <c r="K10" t="s">
        <v>50</v>
      </c>
      <c r="L10" t="s">
        <v>76</v>
      </c>
      <c r="M10" t="s">
        <v>38</v>
      </c>
      <c r="N10" t="s">
        <v>29</v>
      </c>
      <c r="O10">
        <v>1.01</v>
      </c>
      <c r="R10">
        <v>641</v>
      </c>
      <c r="S10">
        <v>4257.3100000000004</v>
      </c>
      <c r="T10" t="s">
        <v>30</v>
      </c>
    </row>
    <row r="11" spans="1:20" x14ac:dyDescent="0.35">
      <c r="A11" t="s">
        <v>77</v>
      </c>
      <c r="B11" t="s">
        <v>78</v>
      </c>
      <c r="C11" t="s">
        <v>79</v>
      </c>
      <c r="D11">
        <v>44715</v>
      </c>
      <c r="E11" t="s">
        <v>56</v>
      </c>
      <c r="F11">
        <v>8583.0499999999993</v>
      </c>
      <c r="G11">
        <v>18442.580000000002</v>
      </c>
      <c r="H11" t="s">
        <v>24</v>
      </c>
      <c r="I11">
        <v>43</v>
      </c>
      <c r="J11" t="s">
        <v>25</v>
      </c>
      <c r="K11" t="s">
        <v>36</v>
      </c>
      <c r="L11" t="s">
        <v>80</v>
      </c>
      <c r="M11" t="s">
        <v>28</v>
      </c>
      <c r="N11" t="s">
        <v>44</v>
      </c>
      <c r="O11">
        <v>2.99</v>
      </c>
      <c r="R11">
        <v>541</v>
      </c>
      <c r="S11">
        <v>4899.16</v>
      </c>
      <c r="T11" t="s">
        <v>45</v>
      </c>
    </row>
    <row r="12" spans="1:20" x14ac:dyDescent="0.35">
      <c r="A12" t="s">
        <v>81</v>
      </c>
      <c r="B12" t="s">
        <v>82</v>
      </c>
      <c r="C12" t="s">
        <v>83</v>
      </c>
      <c r="D12">
        <v>45112</v>
      </c>
      <c r="E12" t="s">
        <v>34</v>
      </c>
      <c r="F12">
        <v>1264.68</v>
      </c>
      <c r="G12">
        <v>1774.85</v>
      </c>
      <c r="H12" t="s">
        <v>35</v>
      </c>
      <c r="I12">
        <v>42</v>
      </c>
      <c r="J12" t="s">
        <v>42</v>
      </c>
      <c r="K12" t="s">
        <v>50</v>
      </c>
      <c r="L12" t="s">
        <v>84</v>
      </c>
      <c r="M12" t="s">
        <v>52</v>
      </c>
      <c r="N12" t="s">
        <v>62</v>
      </c>
      <c r="O12">
        <v>4.01</v>
      </c>
      <c r="P12">
        <v>26995.07</v>
      </c>
      <c r="R12">
        <v>821</v>
      </c>
      <c r="S12">
        <v>8833.2000000000007</v>
      </c>
      <c r="T12" t="s">
        <v>45</v>
      </c>
    </row>
    <row r="13" spans="1:20" x14ac:dyDescent="0.35">
      <c r="A13" t="s">
        <v>85</v>
      </c>
      <c r="B13" t="s">
        <v>86</v>
      </c>
      <c r="C13" t="s">
        <v>87</v>
      </c>
      <c r="D13">
        <v>44998</v>
      </c>
      <c r="E13" t="s">
        <v>34</v>
      </c>
      <c r="F13">
        <v>7423.33</v>
      </c>
      <c r="G13">
        <v>4780.1099999999997</v>
      </c>
      <c r="H13" t="s">
        <v>24</v>
      </c>
      <c r="I13">
        <v>43</v>
      </c>
      <c r="J13" t="s">
        <v>42</v>
      </c>
      <c r="K13" t="s">
        <v>26</v>
      </c>
      <c r="L13" t="s">
        <v>88</v>
      </c>
      <c r="M13" t="s">
        <v>28</v>
      </c>
      <c r="N13" t="s">
        <v>44</v>
      </c>
      <c r="O13">
        <v>4.29</v>
      </c>
      <c r="R13">
        <v>669</v>
      </c>
      <c r="S13">
        <v>3186.26</v>
      </c>
      <c r="T13" t="s">
        <v>30</v>
      </c>
    </row>
    <row r="14" spans="1:20" x14ac:dyDescent="0.35">
      <c r="A14" t="s">
        <v>89</v>
      </c>
      <c r="B14" t="s">
        <v>90</v>
      </c>
      <c r="C14" t="s">
        <v>91</v>
      </c>
      <c r="D14">
        <v>44716</v>
      </c>
      <c r="E14" t="s">
        <v>34</v>
      </c>
      <c r="F14">
        <v>3264.7</v>
      </c>
      <c r="G14">
        <v>45647.25</v>
      </c>
      <c r="H14" t="s">
        <v>35</v>
      </c>
      <c r="I14">
        <v>43</v>
      </c>
      <c r="J14" t="s">
        <v>25</v>
      </c>
      <c r="K14" t="s">
        <v>36</v>
      </c>
      <c r="L14" t="s">
        <v>92</v>
      </c>
      <c r="M14" t="s">
        <v>28</v>
      </c>
      <c r="N14" t="s">
        <v>29</v>
      </c>
      <c r="O14">
        <v>4.5199999999999996</v>
      </c>
      <c r="Q14">
        <v>6</v>
      </c>
      <c r="R14">
        <v>430</v>
      </c>
      <c r="S14">
        <v>7673.83</v>
      </c>
      <c r="T14" t="s">
        <v>63</v>
      </c>
    </row>
    <row r="15" spans="1:20" x14ac:dyDescent="0.35">
      <c r="A15" t="s">
        <v>93</v>
      </c>
      <c r="B15" t="s">
        <v>94</v>
      </c>
      <c r="C15" t="s">
        <v>95</v>
      </c>
      <c r="D15">
        <v>44719</v>
      </c>
      <c r="E15" t="s">
        <v>56</v>
      </c>
      <c r="F15">
        <v>9885.32</v>
      </c>
      <c r="G15">
        <v>18388.18</v>
      </c>
      <c r="H15" t="s">
        <v>24</v>
      </c>
      <c r="I15">
        <v>63</v>
      </c>
      <c r="J15" t="s">
        <v>25</v>
      </c>
      <c r="K15" t="s">
        <v>50</v>
      </c>
      <c r="L15" t="s">
        <v>96</v>
      </c>
      <c r="M15" t="s">
        <v>38</v>
      </c>
      <c r="N15" t="s">
        <v>44</v>
      </c>
      <c r="O15">
        <v>2.95</v>
      </c>
      <c r="R15">
        <v>569</v>
      </c>
      <c r="S15">
        <v>9563.2900000000009</v>
      </c>
      <c r="T15" t="s">
        <v>45</v>
      </c>
    </row>
    <row r="16" spans="1:20" x14ac:dyDescent="0.35">
      <c r="A16" t="s">
        <v>97</v>
      </c>
      <c r="B16" t="s">
        <v>98</v>
      </c>
      <c r="C16" t="s">
        <v>99</v>
      </c>
      <c r="D16">
        <v>44860</v>
      </c>
      <c r="E16" t="s">
        <v>23</v>
      </c>
      <c r="F16">
        <v>4905.05</v>
      </c>
      <c r="G16">
        <v>21813.8</v>
      </c>
      <c r="H16" t="s">
        <v>100</v>
      </c>
      <c r="I16">
        <v>45</v>
      </c>
      <c r="J16" t="s">
        <v>42</v>
      </c>
      <c r="K16" t="s">
        <v>50</v>
      </c>
      <c r="L16" t="s">
        <v>101</v>
      </c>
      <c r="M16" t="s">
        <v>28</v>
      </c>
      <c r="N16" t="s">
        <v>29</v>
      </c>
      <c r="O16">
        <v>3.52</v>
      </c>
      <c r="P16">
        <v>20349.62</v>
      </c>
      <c r="Q16">
        <v>21</v>
      </c>
      <c r="R16">
        <v>360</v>
      </c>
      <c r="S16">
        <v>8786.9599999999991</v>
      </c>
      <c r="T16" t="s">
        <v>63</v>
      </c>
    </row>
    <row r="17" spans="1:20" x14ac:dyDescent="0.35">
      <c r="A17" t="s">
        <v>102</v>
      </c>
      <c r="B17" t="s">
        <v>103</v>
      </c>
      <c r="C17" t="s">
        <v>104</v>
      </c>
      <c r="D17">
        <v>44751</v>
      </c>
      <c r="E17" t="s">
        <v>34</v>
      </c>
      <c r="F17">
        <v>1312.1</v>
      </c>
      <c r="G17">
        <v>11551.87</v>
      </c>
      <c r="H17" t="s">
        <v>100</v>
      </c>
      <c r="I17">
        <v>66</v>
      </c>
      <c r="J17" t="s">
        <v>42</v>
      </c>
      <c r="K17" t="s">
        <v>50</v>
      </c>
      <c r="L17" t="s">
        <v>105</v>
      </c>
      <c r="M17" t="s">
        <v>28</v>
      </c>
      <c r="N17" t="s">
        <v>62</v>
      </c>
      <c r="O17">
        <v>1.32</v>
      </c>
      <c r="P17">
        <v>29371.8</v>
      </c>
      <c r="Q17">
        <v>16</v>
      </c>
      <c r="R17">
        <v>463</v>
      </c>
      <c r="S17">
        <v>6301.81</v>
      </c>
      <c r="T17" t="s">
        <v>30</v>
      </c>
    </row>
    <row r="18" spans="1:20" x14ac:dyDescent="0.35">
      <c r="A18" t="s">
        <v>106</v>
      </c>
      <c r="B18" t="s">
        <v>107</v>
      </c>
      <c r="C18" t="s">
        <v>108</v>
      </c>
      <c r="D18">
        <v>44640</v>
      </c>
      <c r="E18" t="s">
        <v>34</v>
      </c>
      <c r="F18">
        <v>7279.34</v>
      </c>
      <c r="G18">
        <v>30257.69</v>
      </c>
      <c r="H18" t="s">
        <v>35</v>
      </c>
      <c r="I18">
        <v>35</v>
      </c>
      <c r="J18" t="s">
        <v>25</v>
      </c>
      <c r="K18" t="s">
        <v>50</v>
      </c>
      <c r="L18" t="s">
        <v>109</v>
      </c>
      <c r="M18" t="s">
        <v>28</v>
      </c>
      <c r="N18" t="s">
        <v>44</v>
      </c>
      <c r="O18">
        <v>2.95</v>
      </c>
      <c r="R18">
        <v>824</v>
      </c>
      <c r="S18">
        <v>9051.7999999999993</v>
      </c>
      <c r="T18" t="s">
        <v>30</v>
      </c>
    </row>
    <row r="19" spans="1:20" x14ac:dyDescent="0.35">
      <c r="A19" t="s">
        <v>110</v>
      </c>
      <c r="B19" t="s">
        <v>111</v>
      </c>
      <c r="C19" t="s">
        <v>112</v>
      </c>
      <c r="D19">
        <v>44597</v>
      </c>
      <c r="E19" t="s">
        <v>71</v>
      </c>
      <c r="F19">
        <v>3297.81</v>
      </c>
      <c r="G19">
        <v>30145.360000000001</v>
      </c>
      <c r="H19" t="s">
        <v>24</v>
      </c>
      <c r="I19">
        <v>49</v>
      </c>
      <c r="J19" t="s">
        <v>25</v>
      </c>
      <c r="K19" t="s">
        <v>50</v>
      </c>
      <c r="L19" t="s">
        <v>113</v>
      </c>
      <c r="M19" t="s">
        <v>52</v>
      </c>
      <c r="N19" t="s">
        <v>29</v>
      </c>
      <c r="O19">
        <v>1.62</v>
      </c>
      <c r="P19">
        <v>33499.050000000003</v>
      </c>
      <c r="R19">
        <v>571</v>
      </c>
      <c r="S19">
        <v>14464.41</v>
      </c>
      <c r="T19" t="s">
        <v>63</v>
      </c>
    </row>
    <row r="20" spans="1:20" x14ac:dyDescent="0.35">
      <c r="A20" t="s">
        <v>114</v>
      </c>
      <c r="B20" t="s">
        <v>115</v>
      </c>
      <c r="C20" t="s">
        <v>116</v>
      </c>
      <c r="D20">
        <v>44999</v>
      </c>
      <c r="E20" t="s">
        <v>56</v>
      </c>
      <c r="F20">
        <v>9971.07</v>
      </c>
      <c r="G20">
        <v>19237.82</v>
      </c>
      <c r="H20" t="s">
        <v>24</v>
      </c>
      <c r="I20">
        <v>20</v>
      </c>
      <c r="J20" t="s">
        <v>42</v>
      </c>
      <c r="K20" t="s">
        <v>36</v>
      </c>
      <c r="L20" t="s">
        <v>117</v>
      </c>
      <c r="M20" t="s">
        <v>28</v>
      </c>
      <c r="N20" t="s">
        <v>29</v>
      </c>
      <c r="O20">
        <v>2.48</v>
      </c>
      <c r="R20">
        <v>432</v>
      </c>
      <c r="S20">
        <v>4678.2299999999996</v>
      </c>
      <c r="T20" t="s">
        <v>30</v>
      </c>
    </row>
    <row r="21" spans="1:20" x14ac:dyDescent="0.35">
      <c r="A21" t="s">
        <v>118</v>
      </c>
      <c r="B21" t="s">
        <v>119</v>
      </c>
      <c r="C21" t="s">
        <v>120</v>
      </c>
      <c r="D21">
        <v>44735</v>
      </c>
      <c r="E21" t="s">
        <v>34</v>
      </c>
      <c r="F21">
        <v>9799.85</v>
      </c>
      <c r="G21">
        <v>17318.71</v>
      </c>
      <c r="H21" t="s">
        <v>49</v>
      </c>
      <c r="I21">
        <v>19</v>
      </c>
      <c r="J21" t="s">
        <v>42</v>
      </c>
      <c r="K21" t="s">
        <v>50</v>
      </c>
      <c r="L21" t="s">
        <v>121</v>
      </c>
      <c r="M21" t="s">
        <v>52</v>
      </c>
      <c r="N21" t="s">
        <v>29</v>
      </c>
      <c r="O21">
        <v>2.3199999999999998</v>
      </c>
      <c r="P21">
        <v>30022.36</v>
      </c>
      <c r="R21">
        <v>543</v>
      </c>
      <c r="S21">
        <v>10512.81</v>
      </c>
      <c r="T21" t="s">
        <v>45</v>
      </c>
    </row>
    <row r="22" spans="1:20" x14ac:dyDescent="0.35">
      <c r="A22" t="s">
        <v>122</v>
      </c>
      <c r="B22" t="s">
        <v>123</v>
      </c>
      <c r="C22" t="s">
        <v>124</v>
      </c>
      <c r="D22">
        <v>44880</v>
      </c>
      <c r="E22" t="s">
        <v>56</v>
      </c>
      <c r="F22">
        <v>6595.73</v>
      </c>
      <c r="G22">
        <v>44363.25</v>
      </c>
      <c r="H22" t="s">
        <v>125</v>
      </c>
      <c r="I22">
        <v>50</v>
      </c>
      <c r="J22" t="s">
        <v>25</v>
      </c>
      <c r="K22" t="s">
        <v>36</v>
      </c>
      <c r="L22" t="s">
        <v>126</v>
      </c>
      <c r="M22" t="s">
        <v>52</v>
      </c>
      <c r="N22" t="s">
        <v>44</v>
      </c>
      <c r="O22">
        <v>2.69</v>
      </c>
      <c r="R22">
        <v>733</v>
      </c>
      <c r="S22">
        <v>2564.16</v>
      </c>
      <c r="T22" t="s">
        <v>63</v>
      </c>
    </row>
    <row r="23" spans="1:20" x14ac:dyDescent="0.35">
      <c r="A23" t="s">
        <v>127</v>
      </c>
      <c r="B23" t="s">
        <v>128</v>
      </c>
      <c r="C23" t="s">
        <v>129</v>
      </c>
      <c r="D23">
        <v>44648</v>
      </c>
      <c r="E23" t="s">
        <v>34</v>
      </c>
      <c r="F23">
        <v>1385.28</v>
      </c>
      <c r="G23">
        <v>19780.93</v>
      </c>
      <c r="H23" t="s">
        <v>35</v>
      </c>
      <c r="I23">
        <v>59</v>
      </c>
      <c r="J23" t="s">
        <v>42</v>
      </c>
      <c r="K23" t="s">
        <v>50</v>
      </c>
      <c r="L23" t="s">
        <v>130</v>
      </c>
      <c r="M23" t="s">
        <v>52</v>
      </c>
      <c r="N23" t="s">
        <v>44</v>
      </c>
      <c r="O23">
        <v>3.29</v>
      </c>
      <c r="P23">
        <v>6090.81</v>
      </c>
      <c r="R23">
        <v>337</v>
      </c>
      <c r="S23">
        <v>2863.41</v>
      </c>
      <c r="T23" t="s">
        <v>30</v>
      </c>
    </row>
    <row r="24" spans="1:20" x14ac:dyDescent="0.35">
      <c r="A24" t="s">
        <v>131</v>
      </c>
      <c r="B24" t="s">
        <v>132</v>
      </c>
      <c r="C24" t="s">
        <v>133</v>
      </c>
      <c r="D24">
        <v>44933</v>
      </c>
      <c r="E24" t="s">
        <v>23</v>
      </c>
      <c r="F24">
        <v>6899.92</v>
      </c>
      <c r="G24">
        <v>25181.55</v>
      </c>
      <c r="H24" t="s">
        <v>125</v>
      </c>
      <c r="I24">
        <v>36</v>
      </c>
      <c r="J24" t="s">
        <v>25</v>
      </c>
      <c r="K24" t="s">
        <v>26</v>
      </c>
      <c r="L24" t="s">
        <v>134</v>
      </c>
      <c r="M24" t="s">
        <v>52</v>
      </c>
      <c r="N24" t="s">
        <v>44</v>
      </c>
      <c r="O24">
        <v>4.6100000000000003</v>
      </c>
      <c r="Q24">
        <v>27</v>
      </c>
      <c r="R24">
        <v>618</v>
      </c>
      <c r="S24">
        <v>9173.77</v>
      </c>
      <c r="T24" t="s">
        <v>30</v>
      </c>
    </row>
    <row r="25" spans="1:20" x14ac:dyDescent="0.35">
      <c r="A25" t="s">
        <v>135</v>
      </c>
      <c r="B25" t="s">
        <v>136</v>
      </c>
      <c r="C25" t="s">
        <v>137</v>
      </c>
      <c r="D25">
        <v>44779</v>
      </c>
      <c r="E25" t="s">
        <v>23</v>
      </c>
      <c r="F25">
        <v>1021</v>
      </c>
      <c r="G25">
        <v>14881.93</v>
      </c>
      <c r="H25" t="s">
        <v>125</v>
      </c>
      <c r="I25">
        <v>34</v>
      </c>
      <c r="J25" t="s">
        <v>25</v>
      </c>
      <c r="K25" t="s">
        <v>26</v>
      </c>
      <c r="L25" t="s">
        <v>138</v>
      </c>
      <c r="M25" t="s">
        <v>38</v>
      </c>
      <c r="N25" t="s">
        <v>62</v>
      </c>
      <c r="O25">
        <v>2.58</v>
      </c>
      <c r="Q25">
        <v>13</v>
      </c>
      <c r="R25">
        <v>809</v>
      </c>
      <c r="S25">
        <v>3364.21</v>
      </c>
      <c r="T25" t="s">
        <v>63</v>
      </c>
    </row>
    <row r="26" spans="1:20" x14ac:dyDescent="0.35">
      <c r="A26" t="s">
        <v>139</v>
      </c>
      <c r="B26" t="s">
        <v>140</v>
      </c>
      <c r="C26" t="s">
        <v>141</v>
      </c>
      <c r="D26">
        <v>44666</v>
      </c>
      <c r="E26" t="s">
        <v>34</v>
      </c>
      <c r="F26">
        <v>390.71</v>
      </c>
      <c r="G26">
        <v>39551.71</v>
      </c>
      <c r="H26" t="s">
        <v>35</v>
      </c>
      <c r="I26">
        <v>61</v>
      </c>
      <c r="J26" t="s">
        <v>25</v>
      </c>
      <c r="K26" t="s">
        <v>50</v>
      </c>
      <c r="L26" t="s">
        <v>142</v>
      </c>
      <c r="M26" t="s">
        <v>52</v>
      </c>
      <c r="N26" t="s">
        <v>29</v>
      </c>
      <c r="O26">
        <v>4.92</v>
      </c>
      <c r="P26">
        <v>35102.92</v>
      </c>
      <c r="Q26">
        <v>4</v>
      </c>
      <c r="R26">
        <v>675</v>
      </c>
      <c r="S26">
        <v>2290.5100000000002</v>
      </c>
      <c r="T26" t="s">
        <v>45</v>
      </c>
    </row>
    <row r="27" spans="1:20" x14ac:dyDescent="0.35">
      <c r="A27" t="s">
        <v>143</v>
      </c>
      <c r="B27" t="s">
        <v>144</v>
      </c>
      <c r="C27" t="s">
        <v>145</v>
      </c>
      <c r="D27">
        <v>44606</v>
      </c>
      <c r="E27" t="s">
        <v>23</v>
      </c>
      <c r="F27">
        <v>8247.2900000000009</v>
      </c>
      <c r="G27">
        <v>20474.96</v>
      </c>
      <c r="H27" t="s">
        <v>24</v>
      </c>
      <c r="I27">
        <v>50</v>
      </c>
      <c r="J27" t="s">
        <v>42</v>
      </c>
      <c r="K27" t="s">
        <v>26</v>
      </c>
      <c r="L27" t="s">
        <v>146</v>
      </c>
      <c r="M27" t="s">
        <v>28</v>
      </c>
      <c r="N27" t="s">
        <v>29</v>
      </c>
      <c r="O27">
        <v>4.04</v>
      </c>
      <c r="P27">
        <v>38615.379999999997</v>
      </c>
      <c r="R27">
        <v>773</v>
      </c>
      <c r="S27">
        <v>4229.67</v>
      </c>
      <c r="T27" t="s">
        <v>63</v>
      </c>
    </row>
    <row r="28" spans="1:20" x14ac:dyDescent="0.35">
      <c r="A28" t="s">
        <v>147</v>
      </c>
      <c r="B28" t="s">
        <v>148</v>
      </c>
      <c r="C28" t="s">
        <v>149</v>
      </c>
      <c r="D28">
        <v>44837</v>
      </c>
      <c r="E28" t="s">
        <v>34</v>
      </c>
      <c r="F28">
        <v>2176.5500000000002</v>
      </c>
      <c r="G28">
        <v>26166.94</v>
      </c>
      <c r="H28" t="s">
        <v>35</v>
      </c>
      <c r="I28">
        <v>29</v>
      </c>
      <c r="J28" t="s">
        <v>25</v>
      </c>
      <c r="K28" t="s">
        <v>36</v>
      </c>
      <c r="L28" t="s">
        <v>150</v>
      </c>
      <c r="M28" t="s">
        <v>52</v>
      </c>
      <c r="N28" t="s">
        <v>62</v>
      </c>
      <c r="O28">
        <v>3.05</v>
      </c>
      <c r="P28">
        <v>46216.75</v>
      </c>
      <c r="Q28">
        <v>9</v>
      </c>
      <c r="R28">
        <v>358</v>
      </c>
      <c r="S28">
        <v>9343.0400000000009</v>
      </c>
      <c r="T28" t="s">
        <v>30</v>
      </c>
    </row>
    <row r="29" spans="1:20" x14ac:dyDescent="0.35">
      <c r="A29" t="s">
        <v>151</v>
      </c>
      <c r="B29" t="s">
        <v>152</v>
      </c>
      <c r="C29" t="s">
        <v>153</v>
      </c>
      <c r="D29">
        <v>45113</v>
      </c>
      <c r="E29" t="s">
        <v>23</v>
      </c>
      <c r="F29">
        <v>3852.37</v>
      </c>
      <c r="G29">
        <v>13414.5</v>
      </c>
      <c r="H29" t="s">
        <v>125</v>
      </c>
      <c r="I29">
        <v>66</v>
      </c>
      <c r="J29" t="s">
        <v>25</v>
      </c>
      <c r="K29" t="s">
        <v>50</v>
      </c>
      <c r="L29" t="s">
        <v>154</v>
      </c>
      <c r="M29" t="s">
        <v>28</v>
      </c>
      <c r="N29" t="s">
        <v>62</v>
      </c>
      <c r="O29">
        <v>3.58</v>
      </c>
      <c r="P29">
        <v>48115.53</v>
      </c>
      <c r="Q29">
        <v>5</v>
      </c>
      <c r="R29">
        <v>798</v>
      </c>
      <c r="S29">
        <v>11143.43</v>
      </c>
      <c r="T29" t="s">
        <v>30</v>
      </c>
    </row>
    <row r="30" spans="1:20" x14ac:dyDescent="0.35">
      <c r="A30" t="s">
        <v>155</v>
      </c>
      <c r="B30" t="s">
        <v>156</v>
      </c>
      <c r="C30" t="s">
        <v>157</v>
      </c>
      <c r="D30">
        <v>44591</v>
      </c>
      <c r="E30" t="s">
        <v>71</v>
      </c>
      <c r="F30">
        <v>9737.23</v>
      </c>
      <c r="G30">
        <v>49395.32</v>
      </c>
      <c r="H30" t="s">
        <v>24</v>
      </c>
      <c r="I30">
        <v>20</v>
      </c>
      <c r="J30" t="s">
        <v>42</v>
      </c>
      <c r="K30" t="s">
        <v>36</v>
      </c>
      <c r="L30" t="s">
        <v>158</v>
      </c>
      <c r="M30" t="s">
        <v>52</v>
      </c>
      <c r="N30" t="s">
        <v>44</v>
      </c>
      <c r="O30">
        <v>1.41</v>
      </c>
      <c r="P30">
        <v>5473.67</v>
      </c>
      <c r="Q30">
        <v>19</v>
      </c>
      <c r="R30">
        <v>517</v>
      </c>
      <c r="S30">
        <v>4632.22</v>
      </c>
      <c r="T30" t="s">
        <v>63</v>
      </c>
    </row>
    <row r="31" spans="1:20" x14ac:dyDescent="0.35">
      <c r="A31" t="s">
        <v>159</v>
      </c>
      <c r="B31" t="s">
        <v>160</v>
      </c>
      <c r="C31" t="s">
        <v>161</v>
      </c>
      <c r="D31">
        <v>44824</v>
      </c>
      <c r="E31" t="s">
        <v>71</v>
      </c>
      <c r="F31">
        <v>3434.72</v>
      </c>
      <c r="G31">
        <v>15283.29</v>
      </c>
      <c r="H31" t="s">
        <v>100</v>
      </c>
      <c r="I31">
        <v>60</v>
      </c>
      <c r="J31" t="s">
        <v>42</v>
      </c>
      <c r="K31" t="s">
        <v>50</v>
      </c>
      <c r="L31" t="s">
        <v>162</v>
      </c>
      <c r="M31" t="s">
        <v>38</v>
      </c>
      <c r="N31" t="s">
        <v>44</v>
      </c>
      <c r="O31">
        <v>4.38</v>
      </c>
      <c r="Q31">
        <v>22</v>
      </c>
      <c r="R31">
        <v>428</v>
      </c>
      <c r="S31">
        <v>10687.37</v>
      </c>
      <c r="T31" t="s">
        <v>45</v>
      </c>
    </row>
    <row r="32" spans="1:20" x14ac:dyDescent="0.35">
      <c r="A32" t="s">
        <v>163</v>
      </c>
      <c r="B32" t="s">
        <v>164</v>
      </c>
      <c r="C32" t="s">
        <v>165</v>
      </c>
      <c r="D32">
        <v>45133</v>
      </c>
      <c r="E32" t="s">
        <v>71</v>
      </c>
      <c r="F32">
        <v>3035.25</v>
      </c>
      <c r="G32">
        <v>38766.379999999997</v>
      </c>
      <c r="H32" t="s">
        <v>35</v>
      </c>
      <c r="I32">
        <v>66</v>
      </c>
      <c r="J32" t="s">
        <v>25</v>
      </c>
      <c r="K32" t="s">
        <v>26</v>
      </c>
      <c r="L32" t="s">
        <v>166</v>
      </c>
      <c r="M32" t="s">
        <v>52</v>
      </c>
      <c r="N32" t="s">
        <v>44</v>
      </c>
      <c r="O32">
        <v>3.33</v>
      </c>
      <c r="Q32">
        <v>3</v>
      </c>
      <c r="R32">
        <v>682</v>
      </c>
      <c r="S32">
        <v>4372.1899999999996</v>
      </c>
      <c r="T32" t="s">
        <v>45</v>
      </c>
    </row>
    <row r="33" spans="1:20" x14ac:dyDescent="0.35">
      <c r="A33" t="s">
        <v>167</v>
      </c>
      <c r="B33" t="s">
        <v>168</v>
      </c>
      <c r="C33" t="s">
        <v>169</v>
      </c>
      <c r="D33">
        <v>44951</v>
      </c>
      <c r="E33" t="s">
        <v>56</v>
      </c>
      <c r="F33">
        <v>9190.26</v>
      </c>
      <c r="G33">
        <v>21947.29</v>
      </c>
      <c r="H33" t="s">
        <v>35</v>
      </c>
      <c r="I33">
        <v>43</v>
      </c>
      <c r="J33" t="s">
        <v>25</v>
      </c>
      <c r="K33" t="s">
        <v>36</v>
      </c>
      <c r="L33" t="s">
        <v>170</v>
      </c>
      <c r="M33" t="s">
        <v>52</v>
      </c>
      <c r="N33" t="s">
        <v>44</v>
      </c>
      <c r="O33">
        <v>4.9400000000000004</v>
      </c>
      <c r="P33">
        <v>33958.589999999997</v>
      </c>
      <c r="Q33">
        <v>21</v>
      </c>
      <c r="R33">
        <v>687</v>
      </c>
      <c r="S33">
        <v>9974.9500000000007</v>
      </c>
      <c r="T33" t="s">
        <v>45</v>
      </c>
    </row>
    <row r="34" spans="1:20" x14ac:dyDescent="0.35">
      <c r="A34" t="s">
        <v>171</v>
      </c>
      <c r="B34" t="s">
        <v>172</v>
      </c>
      <c r="C34" t="s">
        <v>173</v>
      </c>
      <c r="D34">
        <v>44795</v>
      </c>
      <c r="E34" t="s">
        <v>56</v>
      </c>
      <c r="F34">
        <v>1196.4100000000001</v>
      </c>
      <c r="G34">
        <v>11104.65</v>
      </c>
      <c r="H34" t="s">
        <v>24</v>
      </c>
      <c r="I34">
        <v>52</v>
      </c>
      <c r="J34" t="s">
        <v>42</v>
      </c>
      <c r="K34" t="s">
        <v>26</v>
      </c>
      <c r="L34" t="s">
        <v>174</v>
      </c>
      <c r="M34" t="s">
        <v>38</v>
      </c>
      <c r="N34" t="s">
        <v>44</v>
      </c>
      <c r="O34">
        <v>3.55</v>
      </c>
      <c r="R34">
        <v>384</v>
      </c>
      <c r="S34">
        <v>7355.48</v>
      </c>
      <c r="T34" t="s">
        <v>63</v>
      </c>
    </row>
    <row r="35" spans="1:20" x14ac:dyDescent="0.35">
      <c r="A35" t="s">
        <v>175</v>
      </c>
      <c r="B35" t="s">
        <v>176</v>
      </c>
      <c r="C35" t="s">
        <v>177</v>
      </c>
      <c r="D35">
        <v>44962</v>
      </c>
      <c r="E35" t="s">
        <v>71</v>
      </c>
      <c r="F35">
        <v>7619.87</v>
      </c>
      <c r="G35">
        <v>40186.22</v>
      </c>
      <c r="H35" t="s">
        <v>100</v>
      </c>
      <c r="I35">
        <v>25</v>
      </c>
      <c r="J35" t="s">
        <v>42</v>
      </c>
      <c r="K35" t="s">
        <v>26</v>
      </c>
      <c r="L35" t="s">
        <v>178</v>
      </c>
      <c r="M35" t="s">
        <v>52</v>
      </c>
      <c r="N35" t="s">
        <v>44</v>
      </c>
      <c r="O35">
        <v>4.34</v>
      </c>
      <c r="R35">
        <v>809</v>
      </c>
      <c r="S35">
        <v>10499.39</v>
      </c>
      <c r="T35" t="s">
        <v>45</v>
      </c>
    </row>
    <row r="36" spans="1:20" x14ac:dyDescent="0.35">
      <c r="A36" t="s">
        <v>179</v>
      </c>
      <c r="B36" t="s">
        <v>180</v>
      </c>
      <c r="C36" t="s">
        <v>181</v>
      </c>
      <c r="D36">
        <v>44836</v>
      </c>
      <c r="E36" t="s">
        <v>56</v>
      </c>
      <c r="F36">
        <v>9881.85</v>
      </c>
      <c r="G36">
        <v>17346.73</v>
      </c>
      <c r="H36" t="s">
        <v>100</v>
      </c>
      <c r="I36">
        <v>69</v>
      </c>
      <c r="J36" t="s">
        <v>42</v>
      </c>
      <c r="K36" t="s">
        <v>50</v>
      </c>
      <c r="L36" t="s">
        <v>182</v>
      </c>
      <c r="M36" t="s">
        <v>28</v>
      </c>
      <c r="N36" t="s">
        <v>62</v>
      </c>
      <c r="O36">
        <v>4.2</v>
      </c>
      <c r="P36">
        <v>11547.12</v>
      </c>
      <c r="R36">
        <v>736</v>
      </c>
      <c r="S36">
        <v>14935.69</v>
      </c>
      <c r="T36" t="s">
        <v>45</v>
      </c>
    </row>
    <row r="37" spans="1:20" x14ac:dyDescent="0.35">
      <c r="A37" t="s">
        <v>183</v>
      </c>
      <c r="B37" t="s">
        <v>184</v>
      </c>
      <c r="C37" t="s">
        <v>185</v>
      </c>
      <c r="D37">
        <v>44673</v>
      </c>
      <c r="E37" t="s">
        <v>23</v>
      </c>
      <c r="F37">
        <v>9022.83</v>
      </c>
      <c r="G37">
        <v>43394.47</v>
      </c>
      <c r="H37" t="s">
        <v>24</v>
      </c>
      <c r="I37">
        <v>53</v>
      </c>
      <c r="J37" t="s">
        <v>25</v>
      </c>
      <c r="K37" t="s">
        <v>36</v>
      </c>
      <c r="L37" t="s">
        <v>186</v>
      </c>
      <c r="M37" t="s">
        <v>52</v>
      </c>
      <c r="N37" t="s">
        <v>62</v>
      </c>
      <c r="O37">
        <v>2.38</v>
      </c>
      <c r="Q37">
        <v>10</v>
      </c>
      <c r="R37">
        <v>592</v>
      </c>
      <c r="S37">
        <v>14191.62</v>
      </c>
      <c r="T37" t="s">
        <v>45</v>
      </c>
    </row>
    <row r="38" spans="1:20" x14ac:dyDescent="0.35">
      <c r="A38" t="s">
        <v>187</v>
      </c>
      <c r="B38" t="s">
        <v>188</v>
      </c>
      <c r="C38" t="s">
        <v>189</v>
      </c>
      <c r="D38">
        <v>44669</v>
      </c>
      <c r="E38" t="s">
        <v>34</v>
      </c>
      <c r="F38">
        <v>6551.51</v>
      </c>
      <c r="G38">
        <v>45847.6</v>
      </c>
      <c r="H38" t="s">
        <v>49</v>
      </c>
      <c r="I38">
        <v>24</v>
      </c>
      <c r="J38" t="s">
        <v>25</v>
      </c>
      <c r="K38" t="s">
        <v>26</v>
      </c>
      <c r="L38" t="s">
        <v>190</v>
      </c>
      <c r="M38" t="s">
        <v>52</v>
      </c>
      <c r="N38" t="s">
        <v>62</v>
      </c>
      <c r="O38">
        <v>2.04</v>
      </c>
      <c r="R38">
        <v>348</v>
      </c>
      <c r="S38">
        <v>2055.66</v>
      </c>
      <c r="T38" t="s">
        <v>45</v>
      </c>
    </row>
    <row r="39" spans="1:20" x14ac:dyDescent="0.35">
      <c r="A39" t="s">
        <v>191</v>
      </c>
      <c r="B39" t="s">
        <v>192</v>
      </c>
      <c r="C39" t="s">
        <v>193</v>
      </c>
      <c r="D39">
        <v>45047</v>
      </c>
      <c r="E39" t="s">
        <v>34</v>
      </c>
      <c r="F39">
        <v>3209.2</v>
      </c>
      <c r="G39">
        <v>43131.37</v>
      </c>
      <c r="H39" t="s">
        <v>35</v>
      </c>
      <c r="I39">
        <v>63</v>
      </c>
      <c r="J39" t="s">
        <v>25</v>
      </c>
      <c r="K39" t="s">
        <v>50</v>
      </c>
      <c r="L39" t="s">
        <v>194</v>
      </c>
      <c r="M39" t="s">
        <v>52</v>
      </c>
      <c r="N39" t="s">
        <v>29</v>
      </c>
      <c r="O39">
        <v>2.72</v>
      </c>
      <c r="P39">
        <v>34068.39</v>
      </c>
      <c r="R39">
        <v>366</v>
      </c>
      <c r="S39">
        <v>13510.7</v>
      </c>
      <c r="T39" t="s">
        <v>30</v>
      </c>
    </row>
    <row r="40" spans="1:20" x14ac:dyDescent="0.35">
      <c r="A40" t="s">
        <v>195</v>
      </c>
      <c r="B40" t="s">
        <v>196</v>
      </c>
      <c r="C40" t="s">
        <v>197</v>
      </c>
      <c r="D40">
        <v>45044</v>
      </c>
      <c r="E40" t="s">
        <v>34</v>
      </c>
      <c r="F40">
        <v>2617.79</v>
      </c>
      <c r="G40">
        <v>2715.39</v>
      </c>
      <c r="H40" t="s">
        <v>35</v>
      </c>
      <c r="I40">
        <v>63</v>
      </c>
      <c r="J40" t="s">
        <v>42</v>
      </c>
      <c r="K40" t="s">
        <v>50</v>
      </c>
      <c r="L40" t="s">
        <v>198</v>
      </c>
      <c r="M40" t="s">
        <v>38</v>
      </c>
      <c r="N40" t="s">
        <v>29</v>
      </c>
      <c r="O40">
        <v>2.87</v>
      </c>
      <c r="P40">
        <v>24566.07</v>
      </c>
      <c r="Q40">
        <v>3</v>
      </c>
      <c r="R40">
        <v>428</v>
      </c>
      <c r="S40">
        <v>2864.38</v>
      </c>
      <c r="T40" t="s">
        <v>63</v>
      </c>
    </row>
    <row r="41" spans="1:20" x14ac:dyDescent="0.35">
      <c r="A41" t="s">
        <v>199</v>
      </c>
      <c r="B41" t="s">
        <v>200</v>
      </c>
      <c r="C41" t="s">
        <v>201</v>
      </c>
      <c r="D41">
        <v>44994</v>
      </c>
      <c r="E41" t="s">
        <v>71</v>
      </c>
      <c r="F41">
        <v>8210.6299999999992</v>
      </c>
      <c r="G41">
        <v>39581.29</v>
      </c>
      <c r="H41" t="s">
        <v>125</v>
      </c>
      <c r="I41">
        <v>53</v>
      </c>
      <c r="J41" t="s">
        <v>25</v>
      </c>
      <c r="K41" t="s">
        <v>50</v>
      </c>
      <c r="L41" t="s">
        <v>202</v>
      </c>
      <c r="M41" t="s">
        <v>52</v>
      </c>
      <c r="N41" t="s">
        <v>44</v>
      </c>
      <c r="O41">
        <v>1.96</v>
      </c>
      <c r="R41">
        <v>328</v>
      </c>
      <c r="S41">
        <v>14389.61</v>
      </c>
      <c r="T41" t="s">
        <v>63</v>
      </c>
    </row>
    <row r="42" spans="1:20" x14ac:dyDescent="0.35">
      <c r="A42" t="s">
        <v>203</v>
      </c>
      <c r="B42" t="s">
        <v>204</v>
      </c>
      <c r="C42" t="s">
        <v>205</v>
      </c>
      <c r="D42">
        <v>44885</v>
      </c>
      <c r="E42" t="s">
        <v>56</v>
      </c>
      <c r="F42">
        <v>8810.24</v>
      </c>
      <c r="G42">
        <v>21155.63</v>
      </c>
      <c r="H42" t="s">
        <v>24</v>
      </c>
      <c r="I42">
        <v>33</v>
      </c>
      <c r="J42" t="s">
        <v>42</v>
      </c>
      <c r="K42" t="s">
        <v>26</v>
      </c>
      <c r="L42" t="s">
        <v>206</v>
      </c>
      <c r="M42" t="s">
        <v>52</v>
      </c>
      <c r="N42" t="s">
        <v>62</v>
      </c>
      <c r="O42">
        <v>4.58</v>
      </c>
      <c r="P42">
        <v>9840.26</v>
      </c>
      <c r="Q42">
        <v>24</v>
      </c>
      <c r="R42">
        <v>642</v>
      </c>
      <c r="S42">
        <v>5663.73</v>
      </c>
      <c r="T42" t="s">
        <v>45</v>
      </c>
    </row>
    <row r="43" spans="1:20" x14ac:dyDescent="0.35">
      <c r="A43" t="s">
        <v>207</v>
      </c>
      <c r="B43" t="s">
        <v>208</v>
      </c>
      <c r="C43" t="s">
        <v>209</v>
      </c>
      <c r="D43">
        <v>44804</v>
      </c>
      <c r="E43" t="s">
        <v>23</v>
      </c>
      <c r="F43">
        <v>5301.81</v>
      </c>
      <c r="G43">
        <v>43812.42</v>
      </c>
      <c r="H43" t="s">
        <v>125</v>
      </c>
      <c r="I43">
        <v>41</v>
      </c>
      <c r="J43" t="s">
        <v>25</v>
      </c>
      <c r="K43" t="s">
        <v>50</v>
      </c>
      <c r="L43" t="s">
        <v>210</v>
      </c>
      <c r="M43" t="s">
        <v>28</v>
      </c>
      <c r="N43" t="s">
        <v>29</v>
      </c>
      <c r="O43">
        <v>3.17</v>
      </c>
      <c r="R43">
        <v>844</v>
      </c>
      <c r="S43">
        <v>6966.45</v>
      </c>
      <c r="T43" t="s">
        <v>63</v>
      </c>
    </row>
    <row r="44" spans="1:20" x14ac:dyDescent="0.35">
      <c r="A44" t="s">
        <v>211</v>
      </c>
      <c r="B44" t="s">
        <v>212</v>
      </c>
      <c r="C44" t="s">
        <v>213</v>
      </c>
      <c r="D44">
        <v>44683</v>
      </c>
      <c r="E44" t="s">
        <v>23</v>
      </c>
      <c r="F44">
        <v>2518.9699999999998</v>
      </c>
      <c r="G44">
        <v>32259.759999999998</v>
      </c>
      <c r="H44" t="s">
        <v>125</v>
      </c>
      <c r="I44">
        <v>18</v>
      </c>
      <c r="J44" t="s">
        <v>42</v>
      </c>
      <c r="K44" t="s">
        <v>36</v>
      </c>
      <c r="L44" t="s">
        <v>214</v>
      </c>
      <c r="M44" t="s">
        <v>52</v>
      </c>
      <c r="N44" t="s">
        <v>29</v>
      </c>
      <c r="O44">
        <v>4.91</v>
      </c>
      <c r="P44">
        <v>10548.76</v>
      </c>
      <c r="Q44">
        <v>22</v>
      </c>
      <c r="R44">
        <v>418</v>
      </c>
      <c r="S44">
        <v>3191.3</v>
      </c>
      <c r="T44" t="s">
        <v>63</v>
      </c>
    </row>
    <row r="45" spans="1:20" x14ac:dyDescent="0.35">
      <c r="A45" t="s">
        <v>215</v>
      </c>
      <c r="B45" t="s">
        <v>216</v>
      </c>
      <c r="C45" t="s">
        <v>217</v>
      </c>
      <c r="D45">
        <v>45011</v>
      </c>
      <c r="E45" t="s">
        <v>71</v>
      </c>
      <c r="F45">
        <v>1218.1400000000001</v>
      </c>
      <c r="G45">
        <v>41848.51</v>
      </c>
      <c r="H45" t="s">
        <v>100</v>
      </c>
      <c r="I45">
        <v>66</v>
      </c>
      <c r="J45" t="s">
        <v>25</v>
      </c>
      <c r="K45" t="s">
        <v>36</v>
      </c>
      <c r="L45" t="s">
        <v>218</v>
      </c>
      <c r="M45" t="s">
        <v>52</v>
      </c>
      <c r="N45" t="s">
        <v>62</v>
      </c>
      <c r="O45">
        <v>4.24</v>
      </c>
      <c r="P45">
        <v>26890.1</v>
      </c>
      <c r="Q45">
        <v>18</v>
      </c>
      <c r="R45">
        <v>432</v>
      </c>
      <c r="S45">
        <v>3459.55</v>
      </c>
      <c r="T45" t="s">
        <v>30</v>
      </c>
    </row>
    <row r="46" spans="1:20" x14ac:dyDescent="0.35">
      <c r="A46" t="s">
        <v>219</v>
      </c>
      <c r="B46" t="s">
        <v>220</v>
      </c>
      <c r="C46" t="s">
        <v>221</v>
      </c>
      <c r="D46">
        <v>45065</v>
      </c>
      <c r="E46" t="s">
        <v>23</v>
      </c>
      <c r="F46">
        <v>963.08</v>
      </c>
      <c r="G46">
        <v>25472.16</v>
      </c>
      <c r="H46" t="s">
        <v>35</v>
      </c>
      <c r="I46">
        <v>42</v>
      </c>
      <c r="J46" t="s">
        <v>25</v>
      </c>
      <c r="K46" t="s">
        <v>26</v>
      </c>
      <c r="L46" t="s">
        <v>222</v>
      </c>
      <c r="M46" t="s">
        <v>52</v>
      </c>
      <c r="N46" t="s">
        <v>29</v>
      </c>
      <c r="O46">
        <v>3.22</v>
      </c>
      <c r="P46">
        <v>33134.769999999997</v>
      </c>
      <c r="R46">
        <v>626</v>
      </c>
      <c r="S46">
        <v>11447.63</v>
      </c>
      <c r="T46" t="s">
        <v>63</v>
      </c>
    </row>
    <row r="47" spans="1:20" x14ac:dyDescent="0.35">
      <c r="A47" t="s">
        <v>223</v>
      </c>
      <c r="B47" t="s">
        <v>224</v>
      </c>
      <c r="C47" t="s">
        <v>225</v>
      </c>
      <c r="D47">
        <v>44981</v>
      </c>
      <c r="E47" t="s">
        <v>23</v>
      </c>
      <c r="F47">
        <v>7218.87</v>
      </c>
      <c r="G47">
        <v>27216.25</v>
      </c>
      <c r="H47" t="s">
        <v>125</v>
      </c>
      <c r="I47">
        <v>27</v>
      </c>
      <c r="J47" t="s">
        <v>42</v>
      </c>
      <c r="K47" t="s">
        <v>36</v>
      </c>
      <c r="L47" t="s">
        <v>226</v>
      </c>
      <c r="M47" t="s">
        <v>52</v>
      </c>
      <c r="N47" t="s">
        <v>29</v>
      </c>
      <c r="O47">
        <v>4.79</v>
      </c>
      <c r="P47">
        <v>42232.29</v>
      </c>
      <c r="Q47">
        <v>8</v>
      </c>
      <c r="R47">
        <v>484</v>
      </c>
      <c r="S47">
        <v>14276.32</v>
      </c>
      <c r="T47" t="s">
        <v>30</v>
      </c>
    </row>
    <row r="48" spans="1:20" x14ac:dyDescent="0.35">
      <c r="A48" t="s">
        <v>227</v>
      </c>
      <c r="B48" t="s">
        <v>228</v>
      </c>
      <c r="C48" t="s">
        <v>229</v>
      </c>
      <c r="D48">
        <v>44639</v>
      </c>
      <c r="E48" t="s">
        <v>23</v>
      </c>
      <c r="F48">
        <v>4259.18</v>
      </c>
      <c r="G48">
        <v>8074.99</v>
      </c>
      <c r="H48" t="s">
        <v>100</v>
      </c>
      <c r="I48">
        <v>33</v>
      </c>
      <c r="J48" t="s">
        <v>42</v>
      </c>
      <c r="K48" t="s">
        <v>50</v>
      </c>
      <c r="L48" t="s">
        <v>142</v>
      </c>
      <c r="M48" t="s">
        <v>28</v>
      </c>
      <c r="N48" t="s">
        <v>62</v>
      </c>
      <c r="O48">
        <v>3.02</v>
      </c>
      <c r="R48">
        <v>805</v>
      </c>
      <c r="S48">
        <v>9939.73</v>
      </c>
      <c r="T48" t="s">
        <v>63</v>
      </c>
    </row>
    <row r="49" spans="1:20" x14ac:dyDescent="0.35">
      <c r="A49" t="s">
        <v>230</v>
      </c>
      <c r="B49" t="s">
        <v>231</v>
      </c>
      <c r="C49" t="s">
        <v>232</v>
      </c>
      <c r="D49">
        <v>44713</v>
      </c>
      <c r="E49" t="s">
        <v>23</v>
      </c>
      <c r="F49">
        <v>9063.06</v>
      </c>
      <c r="G49">
        <v>39415.379999999997</v>
      </c>
      <c r="H49" t="s">
        <v>24</v>
      </c>
      <c r="I49">
        <v>33</v>
      </c>
      <c r="J49" t="s">
        <v>25</v>
      </c>
      <c r="K49" t="s">
        <v>26</v>
      </c>
      <c r="L49" t="s">
        <v>233</v>
      </c>
      <c r="M49" t="s">
        <v>28</v>
      </c>
      <c r="N49" t="s">
        <v>29</v>
      </c>
      <c r="O49">
        <v>4.55</v>
      </c>
      <c r="P49">
        <v>7933.99</v>
      </c>
      <c r="Q49">
        <v>25</v>
      </c>
      <c r="R49">
        <v>833</v>
      </c>
      <c r="S49">
        <v>11306.05</v>
      </c>
      <c r="T49" t="s">
        <v>30</v>
      </c>
    </row>
    <row r="50" spans="1:20" x14ac:dyDescent="0.35">
      <c r="A50" t="s">
        <v>234</v>
      </c>
      <c r="B50" t="s">
        <v>235</v>
      </c>
      <c r="C50" t="s">
        <v>236</v>
      </c>
      <c r="D50">
        <v>44997</v>
      </c>
      <c r="E50" t="s">
        <v>56</v>
      </c>
      <c r="F50">
        <v>7422.75</v>
      </c>
      <c r="G50">
        <v>21550.09</v>
      </c>
      <c r="H50" t="s">
        <v>125</v>
      </c>
      <c r="I50">
        <v>25</v>
      </c>
      <c r="J50" t="s">
        <v>42</v>
      </c>
      <c r="K50" t="s">
        <v>50</v>
      </c>
      <c r="L50" t="s">
        <v>237</v>
      </c>
      <c r="M50" t="s">
        <v>38</v>
      </c>
      <c r="N50" t="s">
        <v>62</v>
      </c>
      <c r="O50">
        <v>2.4300000000000002</v>
      </c>
      <c r="P50">
        <v>18834.46</v>
      </c>
      <c r="R50">
        <v>540</v>
      </c>
      <c r="S50">
        <v>11905.61</v>
      </c>
      <c r="T50" t="s">
        <v>30</v>
      </c>
    </row>
    <row r="51" spans="1:20" x14ac:dyDescent="0.35">
      <c r="A51" t="s">
        <v>238</v>
      </c>
      <c r="B51" t="s">
        <v>239</v>
      </c>
      <c r="C51" t="s">
        <v>240</v>
      </c>
      <c r="D51">
        <v>44685</v>
      </c>
      <c r="E51" t="s">
        <v>23</v>
      </c>
      <c r="F51">
        <v>1993.48</v>
      </c>
      <c r="G51">
        <v>25503.93</v>
      </c>
      <c r="H51" t="s">
        <v>35</v>
      </c>
      <c r="I51">
        <v>46</v>
      </c>
      <c r="J51" t="s">
        <v>42</v>
      </c>
      <c r="K51" t="s">
        <v>26</v>
      </c>
      <c r="L51" t="s">
        <v>241</v>
      </c>
      <c r="M51" t="s">
        <v>52</v>
      </c>
      <c r="N51" t="s">
        <v>29</v>
      </c>
      <c r="O51">
        <v>2.5099999999999998</v>
      </c>
      <c r="R51">
        <v>815</v>
      </c>
      <c r="S51">
        <v>5416.59</v>
      </c>
      <c r="T51" t="s">
        <v>63</v>
      </c>
    </row>
    <row r="52" spans="1:20" x14ac:dyDescent="0.35">
      <c r="A52" t="s">
        <v>242</v>
      </c>
      <c r="B52" t="s">
        <v>243</v>
      </c>
      <c r="C52" t="s">
        <v>244</v>
      </c>
      <c r="D52">
        <v>44771</v>
      </c>
      <c r="E52" t="s">
        <v>34</v>
      </c>
      <c r="F52">
        <v>6176.4</v>
      </c>
      <c r="G52">
        <v>39469.79</v>
      </c>
      <c r="H52" t="s">
        <v>125</v>
      </c>
      <c r="I52">
        <v>56</v>
      </c>
      <c r="J52" t="s">
        <v>25</v>
      </c>
      <c r="K52" t="s">
        <v>26</v>
      </c>
      <c r="L52" t="s">
        <v>245</v>
      </c>
      <c r="M52" t="s">
        <v>38</v>
      </c>
      <c r="N52" t="s">
        <v>62</v>
      </c>
      <c r="O52">
        <v>2.67</v>
      </c>
      <c r="Q52">
        <v>26</v>
      </c>
      <c r="R52">
        <v>464</v>
      </c>
      <c r="S52">
        <v>2587.9899999999998</v>
      </c>
      <c r="T52" t="s">
        <v>30</v>
      </c>
    </row>
    <row r="53" spans="1:20" x14ac:dyDescent="0.35">
      <c r="A53" t="s">
        <v>246</v>
      </c>
      <c r="B53" t="s">
        <v>247</v>
      </c>
      <c r="C53" t="s">
        <v>248</v>
      </c>
      <c r="D53">
        <v>44646</v>
      </c>
      <c r="E53" t="s">
        <v>71</v>
      </c>
      <c r="F53">
        <v>4411.5</v>
      </c>
      <c r="G53">
        <v>30343.42</v>
      </c>
      <c r="H53" t="s">
        <v>24</v>
      </c>
      <c r="I53">
        <v>45</v>
      </c>
      <c r="J53" t="s">
        <v>42</v>
      </c>
      <c r="K53" t="s">
        <v>50</v>
      </c>
      <c r="L53" t="s">
        <v>249</v>
      </c>
      <c r="M53" t="s">
        <v>38</v>
      </c>
      <c r="N53" t="s">
        <v>29</v>
      </c>
      <c r="O53">
        <v>3.19</v>
      </c>
      <c r="R53">
        <v>517</v>
      </c>
      <c r="S53">
        <v>2024.35</v>
      </c>
      <c r="T53" t="s">
        <v>30</v>
      </c>
    </row>
    <row r="54" spans="1:20" x14ac:dyDescent="0.35">
      <c r="A54" t="s">
        <v>250</v>
      </c>
      <c r="B54" t="s">
        <v>251</v>
      </c>
      <c r="C54" t="s">
        <v>252</v>
      </c>
      <c r="D54">
        <v>45117</v>
      </c>
      <c r="E54" t="s">
        <v>56</v>
      </c>
      <c r="F54">
        <v>5814.77</v>
      </c>
      <c r="G54">
        <v>10853.84</v>
      </c>
      <c r="H54" t="s">
        <v>125</v>
      </c>
      <c r="I54">
        <v>23</v>
      </c>
      <c r="J54" t="s">
        <v>25</v>
      </c>
      <c r="K54" t="s">
        <v>36</v>
      </c>
      <c r="L54" t="s">
        <v>253</v>
      </c>
      <c r="M54" t="s">
        <v>52</v>
      </c>
      <c r="N54" t="s">
        <v>29</v>
      </c>
      <c r="O54">
        <v>3.21</v>
      </c>
      <c r="R54">
        <v>304</v>
      </c>
      <c r="S54">
        <v>6558.44</v>
      </c>
      <c r="T54" t="s">
        <v>63</v>
      </c>
    </row>
    <row r="55" spans="1:20" x14ac:dyDescent="0.35">
      <c r="A55" t="s">
        <v>254</v>
      </c>
      <c r="B55" t="s">
        <v>255</v>
      </c>
      <c r="C55" t="s">
        <v>256</v>
      </c>
      <c r="D55">
        <v>44606</v>
      </c>
      <c r="E55" t="s">
        <v>23</v>
      </c>
      <c r="F55">
        <v>7406.88</v>
      </c>
      <c r="G55">
        <v>29921.4</v>
      </c>
      <c r="H55" t="s">
        <v>35</v>
      </c>
      <c r="I55">
        <v>33</v>
      </c>
      <c r="J55" t="s">
        <v>25</v>
      </c>
      <c r="K55" t="s">
        <v>36</v>
      </c>
      <c r="L55" t="s">
        <v>257</v>
      </c>
      <c r="M55" t="s">
        <v>28</v>
      </c>
      <c r="N55" t="s">
        <v>62</v>
      </c>
      <c r="O55">
        <v>2.99</v>
      </c>
      <c r="P55">
        <v>8201.99</v>
      </c>
      <c r="R55">
        <v>380</v>
      </c>
      <c r="S55">
        <v>5139.03</v>
      </c>
      <c r="T55" t="s">
        <v>30</v>
      </c>
    </row>
    <row r="56" spans="1:20" x14ac:dyDescent="0.35">
      <c r="A56" t="s">
        <v>258</v>
      </c>
      <c r="B56" t="s">
        <v>259</v>
      </c>
      <c r="C56" t="s">
        <v>260</v>
      </c>
      <c r="D56">
        <v>45141</v>
      </c>
      <c r="E56" t="s">
        <v>56</v>
      </c>
      <c r="F56">
        <v>8081.34</v>
      </c>
      <c r="G56">
        <v>20974.01</v>
      </c>
      <c r="H56" t="s">
        <v>100</v>
      </c>
      <c r="I56">
        <v>37</v>
      </c>
      <c r="J56" t="s">
        <v>42</v>
      </c>
      <c r="K56" t="s">
        <v>26</v>
      </c>
      <c r="L56" t="s">
        <v>261</v>
      </c>
      <c r="M56" t="s">
        <v>28</v>
      </c>
      <c r="N56" t="s">
        <v>29</v>
      </c>
      <c r="O56">
        <v>2.2200000000000002</v>
      </c>
      <c r="Q56">
        <v>10</v>
      </c>
      <c r="R56">
        <v>546</v>
      </c>
      <c r="S56">
        <v>2810.13</v>
      </c>
      <c r="T56" t="s">
        <v>30</v>
      </c>
    </row>
    <row r="57" spans="1:20" x14ac:dyDescent="0.35">
      <c r="A57" t="s">
        <v>262</v>
      </c>
      <c r="B57" t="s">
        <v>263</v>
      </c>
      <c r="C57" t="s">
        <v>264</v>
      </c>
      <c r="D57">
        <v>45144</v>
      </c>
      <c r="E57" t="s">
        <v>23</v>
      </c>
      <c r="F57">
        <v>8453</v>
      </c>
      <c r="G57">
        <v>24006.75</v>
      </c>
      <c r="H57" t="s">
        <v>35</v>
      </c>
      <c r="I57">
        <v>33</v>
      </c>
      <c r="J57" t="s">
        <v>42</v>
      </c>
      <c r="K57" t="s">
        <v>50</v>
      </c>
      <c r="L57" t="s">
        <v>265</v>
      </c>
      <c r="M57" t="s">
        <v>52</v>
      </c>
      <c r="N57" t="s">
        <v>62</v>
      </c>
      <c r="O57">
        <v>4.71</v>
      </c>
      <c r="P57">
        <v>44968.55</v>
      </c>
      <c r="Q57">
        <v>23</v>
      </c>
      <c r="R57">
        <v>792</v>
      </c>
      <c r="S57">
        <v>4333.87</v>
      </c>
      <c r="T57" t="s">
        <v>30</v>
      </c>
    </row>
    <row r="58" spans="1:20" x14ac:dyDescent="0.35">
      <c r="A58" t="s">
        <v>266</v>
      </c>
      <c r="B58" t="s">
        <v>267</v>
      </c>
      <c r="C58" t="s">
        <v>268</v>
      </c>
      <c r="D58">
        <v>44734</v>
      </c>
      <c r="E58" t="s">
        <v>34</v>
      </c>
      <c r="F58">
        <v>2614.35</v>
      </c>
      <c r="G58">
        <v>2387.25</v>
      </c>
      <c r="H58" t="s">
        <v>100</v>
      </c>
      <c r="I58">
        <v>24</v>
      </c>
      <c r="J58" t="s">
        <v>25</v>
      </c>
      <c r="K58" t="s">
        <v>50</v>
      </c>
      <c r="L58" t="s">
        <v>261</v>
      </c>
      <c r="M58" t="s">
        <v>52</v>
      </c>
      <c r="N58" t="s">
        <v>62</v>
      </c>
      <c r="O58">
        <v>3.35</v>
      </c>
      <c r="R58">
        <v>685</v>
      </c>
      <c r="S58">
        <v>3618.49</v>
      </c>
      <c r="T58" t="s">
        <v>30</v>
      </c>
    </row>
    <row r="59" spans="1:20" x14ac:dyDescent="0.35">
      <c r="A59" t="s">
        <v>269</v>
      </c>
      <c r="B59" t="s">
        <v>270</v>
      </c>
      <c r="C59" t="s">
        <v>271</v>
      </c>
      <c r="D59">
        <v>45115</v>
      </c>
      <c r="E59" t="s">
        <v>71</v>
      </c>
      <c r="F59">
        <v>408.04</v>
      </c>
      <c r="G59">
        <v>11291.44</v>
      </c>
      <c r="H59" t="s">
        <v>49</v>
      </c>
      <c r="I59">
        <v>58</v>
      </c>
      <c r="J59" t="s">
        <v>25</v>
      </c>
      <c r="K59" t="s">
        <v>26</v>
      </c>
      <c r="L59" t="s">
        <v>272</v>
      </c>
      <c r="M59" t="s">
        <v>28</v>
      </c>
      <c r="N59" t="s">
        <v>29</v>
      </c>
      <c r="O59">
        <v>2.63</v>
      </c>
      <c r="P59">
        <v>43028.67</v>
      </c>
      <c r="R59">
        <v>606</v>
      </c>
      <c r="S59">
        <v>13893.42</v>
      </c>
      <c r="T59" t="s">
        <v>30</v>
      </c>
    </row>
    <row r="60" spans="1:20" x14ac:dyDescent="0.35">
      <c r="A60" t="s">
        <v>273</v>
      </c>
      <c r="B60" t="s">
        <v>274</v>
      </c>
      <c r="C60" t="s">
        <v>275</v>
      </c>
      <c r="D60">
        <v>45153</v>
      </c>
      <c r="E60" t="s">
        <v>23</v>
      </c>
      <c r="F60">
        <v>7419.02</v>
      </c>
      <c r="G60">
        <v>14770.87</v>
      </c>
      <c r="H60" t="s">
        <v>35</v>
      </c>
      <c r="I60">
        <v>31</v>
      </c>
      <c r="J60" t="s">
        <v>25</v>
      </c>
      <c r="K60" t="s">
        <v>36</v>
      </c>
      <c r="L60" t="s">
        <v>276</v>
      </c>
      <c r="M60" t="s">
        <v>52</v>
      </c>
      <c r="N60" t="s">
        <v>44</v>
      </c>
      <c r="O60">
        <v>3.6</v>
      </c>
      <c r="Q60">
        <v>4</v>
      </c>
      <c r="R60">
        <v>842</v>
      </c>
      <c r="S60">
        <v>3823.47</v>
      </c>
      <c r="T60" t="s">
        <v>45</v>
      </c>
    </row>
    <row r="61" spans="1:20" x14ac:dyDescent="0.35">
      <c r="A61" t="s">
        <v>277</v>
      </c>
      <c r="B61" t="s">
        <v>278</v>
      </c>
      <c r="C61" t="s">
        <v>279</v>
      </c>
      <c r="D61">
        <v>45068</v>
      </c>
      <c r="E61" t="s">
        <v>23</v>
      </c>
      <c r="F61">
        <v>1152.8</v>
      </c>
      <c r="G61">
        <v>35935.040000000001</v>
      </c>
      <c r="H61" t="s">
        <v>35</v>
      </c>
      <c r="I61">
        <v>60</v>
      </c>
      <c r="J61" t="s">
        <v>25</v>
      </c>
      <c r="K61" t="s">
        <v>50</v>
      </c>
      <c r="L61" t="s">
        <v>280</v>
      </c>
      <c r="M61" t="s">
        <v>52</v>
      </c>
      <c r="N61" t="s">
        <v>29</v>
      </c>
      <c r="O61">
        <v>4.07</v>
      </c>
      <c r="P61">
        <v>12984.42</v>
      </c>
      <c r="Q61">
        <v>28</v>
      </c>
      <c r="R61">
        <v>306</v>
      </c>
      <c r="S61">
        <v>8989.43</v>
      </c>
      <c r="T61" t="s">
        <v>30</v>
      </c>
    </row>
    <row r="62" spans="1:20" x14ac:dyDescent="0.35">
      <c r="A62" t="s">
        <v>281</v>
      </c>
      <c r="B62" t="s">
        <v>282</v>
      </c>
      <c r="C62" t="s">
        <v>283</v>
      </c>
      <c r="D62">
        <v>44954</v>
      </c>
      <c r="E62" t="s">
        <v>23</v>
      </c>
      <c r="F62">
        <v>3217.7</v>
      </c>
      <c r="G62">
        <v>1563.13</v>
      </c>
      <c r="H62" t="s">
        <v>24</v>
      </c>
      <c r="I62">
        <v>43</v>
      </c>
      <c r="J62" t="s">
        <v>25</v>
      </c>
      <c r="K62" t="s">
        <v>36</v>
      </c>
      <c r="L62" t="s">
        <v>284</v>
      </c>
      <c r="M62" t="s">
        <v>52</v>
      </c>
      <c r="N62" t="s">
        <v>44</v>
      </c>
      <c r="O62">
        <v>4.84</v>
      </c>
      <c r="P62">
        <v>26486.959999999999</v>
      </c>
      <c r="R62">
        <v>814</v>
      </c>
      <c r="S62">
        <v>9710.3799999999992</v>
      </c>
      <c r="T62" t="s">
        <v>30</v>
      </c>
    </row>
    <row r="63" spans="1:20" x14ac:dyDescent="0.35">
      <c r="A63" t="s">
        <v>285</v>
      </c>
      <c r="B63" t="s">
        <v>286</v>
      </c>
      <c r="C63" t="s">
        <v>287</v>
      </c>
      <c r="D63">
        <v>44623</v>
      </c>
      <c r="E63" t="s">
        <v>23</v>
      </c>
      <c r="F63">
        <v>137.79</v>
      </c>
      <c r="G63">
        <v>21030.09</v>
      </c>
      <c r="H63" t="s">
        <v>125</v>
      </c>
      <c r="I63">
        <v>43</v>
      </c>
      <c r="J63" t="s">
        <v>25</v>
      </c>
      <c r="K63" t="s">
        <v>36</v>
      </c>
      <c r="L63" t="s">
        <v>288</v>
      </c>
      <c r="M63" t="s">
        <v>28</v>
      </c>
      <c r="N63" t="s">
        <v>44</v>
      </c>
      <c r="O63">
        <v>3</v>
      </c>
      <c r="Q63">
        <v>16</v>
      </c>
      <c r="R63">
        <v>372</v>
      </c>
      <c r="S63">
        <v>9065.36</v>
      </c>
      <c r="T63" t="s">
        <v>30</v>
      </c>
    </row>
    <row r="64" spans="1:20" x14ac:dyDescent="0.35">
      <c r="A64" t="s">
        <v>289</v>
      </c>
      <c r="B64" t="s">
        <v>290</v>
      </c>
      <c r="C64" t="s">
        <v>291</v>
      </c>
      <c r="D64">
        <v>44698</v>
      </c>
      <c r="E64" t="s">
        <v>71</v>
      </c>
      <c r="F64">
        <v>6848.53</v>
      </c>
      <c r="G64">
        <v>46277.32</v>
      </c>
      <c r="H64" t="s">
        <v>100</v>
      </c>
      <c r="I64">
        <v>31</v>
      </c>
      <c r="J64" t="s">
        <v>42</v>
      </c>
      <c r="K64" t="s">
        <v>26</v>
      </c>
      <c r="L64" t="s">
        <v>292</v>
      </c>
      <c r="M64" t="s">
        <v>38</v>
      </c>
      <c r="N64" t="s">
        <v>29</v>
      </c>
      <c r="O64">
        <v>1.45</v>
      </c>
      <c r="P64">
        <v>27046.93</v>
      </c>
      <c r="Q64">
        <v>18</v>
      </c>
      <c r="R64">
        <v>309</v>
      </c>
      <c r="S64">
        <v>3287.73</v>
      </c>
      <c r="T64" t="s">
        <v>30</v>
      </c>
    </row>
    <row r="65" spans="1:20" x14ac:dyDescent="0.35">
      <c r="A65" t="s">
        <v>293</v>
      </c>
      <c r="B65" t="s">
        <v>294</v>
      </c>
      <c r="C65" t="s">
        <v>295</v>
      </c>
      <c r="D65">
        <v>44642</v>
      </c>
      <c r="E65" t="s">
        <v>71</v>
      </c>
      <c r="F65">
        <v>1754.61</v>
      </c>
      <c r="G65">
        <v>6482.15</v>
      </c>
      <c r="H65" t="s">
        <v>100</v>
      </c>
      <c r="I65">
        <v>24</v>
      </c>
      <c r="J65" t="s">
        <v>42</v>
      </c>
      <c r="K65" t="s">
        <v>26</v>
      </c>
      <c r="L65" t="s">
        <v>296</v>
      </c>
      <c r="M65" t="s">
        <v>38</v>
      </c>
      <c r="N65" t="s">
        <v>44</v>
      </c>
      <c r="O65">
        <v>2.76</v>
      </c>
      <c r="P65">
        <v>29244.77</v>
      </c>
      <c r="R65">
        <v>421</v>
      </c>
      <c r="S65">
        <v>6144.38</v>
      </c>
      <c r="T65" t="s">
        <v>63</v>
      </c>
    </row>
    <row r="66" spans="1:20" x14ac:dyDescent="0.35">
      <c r="A66" t="s">
        <v>297</v>
      </c>
      <c r="B66" t="s">
        <v>298</v>
      </c>
      <c r="C66" t="s">
        <v>299</v>
      </c>
      <c r="D66">
        <v>44619</v>
      </c>
      <c r="E66" t="s">
        <v>34</v>
      </c>
      <c r="F66">
        <v>6587.3</v>
      </c>
      <c r="G66">
        <v>26304.799999999999</v>
      </c>
      <c r="H66" t="s">
        <v>24</v>
      </c>
      <c r="I66">
        <v>50</v>
      </c>
      <c r="J66" t="s">
        <v>42</v>
      </c>
      <c r="K66" t="s">
        <v>36</v>
      </c>
      <c r="L66" t="s">
        <v>300</v>
      </c>
      <c r="M66" t="s">
        <v>52</v>
      </c>
      <c r="N66" t="s">
        <v>62</v>
      </c>
      <c r="O66">
        <v>2.92</v>
      </c>
      <c r="P66">
        <v>16594.57</v>
      </c>
      <c r="Q66">
        <v>10</v>
      </c>
      <c r="R66">
        <v>812</v>
      </c>
      <c r="S66">
        <v>2666.51</v>
      </c>
      <c r="T66" t="s">
        <v>45</v>
      </c>
    </row>
    <row r="67" spans="1:20" x14ac:dyDescent="0.35">
      <c r="A67" t="s">
        <v>301</v>
      </c>
      <c r="B67" t="s">
        <v>302</v>
      </c>
      <c r="C67" t="s">
        <v>303</v>
      </c>
      <c r="D67">
        <v>44807</v>
      </c>
      <c r="E67" t="s">
        <v>71</v>
      </c>
      <c r="F67">
        <v>9918.25</v>
      </c>
      <c r="G67">
        <v>39539.599999999999</v>
      </c>
      <c r="H67" t="s">
        <v>24</v>
      </c>
      <c r="I67">
        <v>43</v>
      </c>
      <c r="J67" t="s">
        <v>25</v>
      </c>
      <c r="K67" t="s">
        <v>50</v>
      </c>
      <c r="L67" t="s">
        <v>304</v>
      </c>
      <c r="M67" t="s">
        <v>28</v>
      </c>
      <c r="N67" t="s">
        <v>62</v>
      </c>
      <c r="O67">
        <v>4.59</v>
      </c>
      <c r="P67">
        <v>21480.85</v>
      </c>
      <c r="Q67">
        <v>16</v>
      </c>
      <c r="R67">
        <v>740</v>
      </c>
      <c r="S67">
        <v>7143.71</v>
      </c>
      <c r="T67" t="s">
        <v>63</v>
      </c>
    </row>
    <row r="68" spans="1:20" x14ac:dyDescent="0.35">
      <c r="A68" t="s">
        <v>305</v>
      </c>
      <c r="B68" t="s">
        <v>306</v>
      </c>
      <c r="C68" t="s">
        <v>307</v>
      </c>
      <c r="D68">
        <v>44759</v>
      </c>
      <c r="E68" t="s">
        <v>23</v>
      </c>
      <c r="F68">
        <v>819.44</v>
      </c>
      <c r="G68">
        <v>47184.03</v>
      </c>
      <c r="H68" t="s">
        <v>125</v>
      </c>
      <c r="I68">
        <v>62</v>
      </c>
      <c r="J68" t="s">
        <v>42</v>
      </c>
      <c r="K68" t="s">
        <v>50</v>
      </c>
      <c r="L68" t="s">
        <v>308</v>
      </c>
      <c r="M68" t="s">
        <v>52</v>
      </c>
      <c r="N68" t="s">
        <v>44</v>
      </c>
      <c r="O68">
        <v>2.58</v>
      </c>
      <c r="Q68">
        <v>23</v>
      </c>
      <c r="R68">
        <v>337</v>
      </c>
      <c r="S68">
        <v>4451.79</v>
      </c>
      <c r="T68" t="s">
        <v>45</v>
      </c>
    </row>
    <row r="69" spans="1:20" x14ac:dyDescent="0.35">
      <c r="A69" t="s">
        <v>309</v>
      </c>
      <c r="B69" t="s">
        <v>310</v>
      </c>
      <c r="C69" t="s">
        <v>311</v>
      </c>
      <c r="D69">
        <v>45126</v>
      </c>
      <c r="E69" t="s">
        <v>34</v>
      </c>
      <c r="F69">
        <v>863.07</v>
      </c>
      <c r="G69">
        <v>37592.06</v>
      </c>
      <c r="H69" t="s">
        <v>125</v>
      </c>
      <c r="I69">
        <v>37</v>
      </c>
      <c r="J69" t="s">
        <v>25</v>
      </c>
      <c r="K69" t="s">
        <v>26</v>
      </c>
      <c r="L69" t="s">
        <v>312</v>
      </c>
      <c r="M69" t="s">
        <v>28</v>
      </c>
      <c r="N69" t="s">
        <v>62</v>
      </c>
      <c r="O69">
        <v>4.8099999999999996</v>
      </c>
      <c r="P69">
        <v>10900.45</v>
      </c>
      <c r="R69">
        <v>644</v>
      </c>
      <c r="S69">
        <v>9301.2199999999993</v>
      </c>
      <c r="T69" t="s">
        <v>30</v>
      </c>
    </row>
    <row r="70" spans="1:20" x14ac:dyDescent="0.35">
      <c r="A70" t="s">
        <v>313</v>
      </c>
      <c r="B70" t="s">
        <v>314</v>
      </c>
      <c r="C70" t="s">
        <v>315</v>
      </c>
      <c r="D70">
        <v>44707</v>
      </c>
      <c r="E70" t="s">
        <v>34</v>
      </c>
      <c r="F70">
        <v>3469.76</v>
      </c>
      <c r="G70">
        <v>36307.71</v>
      </c>
      <c r="H70" t="s">
        <v>35</v>
      </c>
      <c r="I70">
        <v>20</v>
      </c>
      <c r="J70" t="s">
        <v>25</v>
      </c>
      <c r="K70" t="s">
        <v>36</v>
      </c>
      <c r="L70" t="s">
        <v>316</v>
      </c>
      <c r="M70" t="s">
        <v>52</v>
      </c>
      <c r="N70" t="s">
        <v>29</v>
      </c>
      <c r="O70">
        <v>2.94</v>
      </c>
      <c r="P70">
        <v>25491.39</v>
      </c>
      <c r="Q70">
        <v>11</v>
      </c>
      <c r="R70">
        <v>637</v>
      </c>
      <c r="S70">
        <v>11006.51</v>
      </c>
      <c r="T70" t="s">
        <v>30</v>
      </c>
    </row>
    <row r="71" spans="1:20" x14ac:dyDescent="0.35">
      <c r="A71" t="s">
        <v>317</v>
      </c>
      <c r="B71" t="s">
        <v>318</v>
      </c>
      <c r="C71" t="s">
        <v>319</v>
      </c>
      <c r="D71">
        <v>44857</v>
      </c>
      <c r="E71" t="s">
        <v>34</v>
      </c>
      <c r="F71">
        <v>8677.23</v>
      </c>
      <c r="G71">
        <v>41497.919999999998</v>
      </c>
      <c r="H71" t="s">
        <v>49</v>
      </c>
      <c r="I71">
        <v>69</v>
      </c>
      <c r="J71" t="s">
        <v>42</v>
      </c>
      <c r="K71" t="s">
        <v>50</v>
      </c>
      <c r="L71" t="s">
        <v>320</v>
      </c>
      <c r="M71" t="s">
        <v>28</v>
      </c>
      <c r="N71" t="s">
        <v>62</v>
      </c>
      <c r="O71">
        <v>4.9000000000000004</v>
      </c>
      <c r="R71">
        <v>483</v>
      </c>
      <c r="S71">
        <v>8917.56</v>
      </c>
      <c r="T71" t="s">
        <v>45</v>
      </c>
    </row>
    <row r="72" spans="1:20" x14ac:dyDescent="0.35">
      <c r="A72" t="s">
        <v>321</v>
      </c>
      <c r="B72" t="s">
        <v>322</v>
      </c>
      <c r="C72" t="s">
        <v>323</v>
      </c>
      <c r="D72">
        <v>44658</v>
      </c>
      <c r="E72" t="s">
        <v>23</v>
      </c>
      <c r="F72">
        <v>2233.75</v>
      </c>
      <c r="G72">
        <v>22863.86</v>
      </c>
      <c r="H72" t="s">
        <v>125</v>
      </c>
      <c r="I72">
        <v>21</v>
      </c>
      <c r="J72" t="s">
        <v>25</v>
      </c>
      <c r="K72" t="s">
        <v>50</v>
      </c>
      <c r="L72" t="s">
        <v>324</v>
      </c>
      <c r="M72" t="s">
        <v>28</v>
      </c>
      <c r="N72" t="s">
        <v>44</v>
      </c>
      <c r="O72">
        <v>1.03</v>
      </c>
      <c r="Q72">
        <v>1</v>
      </c>
      <c r="R72">
        <v>366</v>
      </c>
      <c r="S72">
        <v>7645.08</v>
      </c>
      <c r="T72" t="s">
        <v>45</v>
      </c>
    </row>
    <row r="73" spans="1:20" x14ac:dyDescent="0.35">
      <c r="A73" t="s">
        <v>325</v>
      </c>
      <c r="B73" t="s">
        <v>326</v>
      </c>
      <c r="C73" t="s">
        <v>327</v>
      </c>
      <c r="D73">
        <v>44883</v>
      </c>
      <c r="E73" t="s">
        <v>56</v>
      </c>
      <c r="F73">
        <v>3667.74</v>
      </c>
      <c r="G73">
        <v>40486.379999999997</v>
      </c>
      <c r="H73" t="s">
        <v>24</v>
      </c>
      <c r="I73">
        <v>43</v>
      </c>
      <c r="J73" t="s">
        <v>25</v>
      </c>
      <c r="K73" t="s">
        <v>26</v>
      </c>
      <c r="L73" t="s">
        <v>328</v>
      </c>
      <c r="M73" t="s">
        <v>38</v>
      </c>
      <c r="N73" t="s">
        <v>29</v>
      </c>
      <c r="O73">
        <v>4.5999999999999996</v>
      </c>
      <c r="Q73">
        <v>29</v>
      </c>
      <c r="R73">
        <v>316</v>
      </c>
      <c r="S73">
        <v>7035.33</v>
      </c>
      <c r="T73" t="s">
        <v>63</v>
      </c>
    </row>
    <row r="74" spans="1:20" x14ac:dyDescent="0.35">
      <c r="A74" t="s">
        <v>329</v>
      </c>
      <c r="B74" t="s">
        <v>330</v>
      </c>
      <c r="C74" t="s">
        <v>331</v>
      </c>
      <c r="D74">
        <v>44575</v>
      </c>
      <c r="E74" t="s">
        <v>23</v>
      </c>
      <c r="F74">
        <v>778.2</v>
      </c>
      <c r="G74">
        <v>1390.26</v>
      </c>
      <c r="H74" t="s">
        <v>125</v>
      </c>
      <c r="I74">
        <v>28</v>
      </c>
      <c r="J74" t="s">
        <v>25</v>
      </c>
      <c r="K74" t="s">
        <v>36</v>
      </c>
      <c r="L74" t="s">
        <v>332</v>
      </c>
      <c r="M74" t="s">
        <v>52</v>
      </c>
      <c r="N74" t="s">
        <v>62</v>
      </c>
      <c r="O74">
        <v>4.72</v>
      </c>
      <c r="P74">
        <v>28346.37</v>
      </c>
      <c r="R74">
        <v>682</v>
      </c>
      <c r="S74">
        <v>12941.99</v>
      </c>
      <c r="T74" t="s">
        <v>45</v>
      </c>
    </row>
    <row r="75" spans="1:20" x14ac:dyDescent="0.35">
      <c r="A75" t="s">
        <v>333</v>
      </c>
      <c r="B75" t="s">
        <v>334</v>
      </c>
      <c r="C75" t="s">
        <v>335</v>
      </c>
      <c r="D75">
        <v>44618</v>
      </c>
      <c r="E75" t="s">
        <v>71</v>
      </c>
      <c r="F75">
        <v>7655.24</v>
      </c>
      <c r="G75">
        <v>46303.49</v>
      </c>
      <c r="H75" t="s">
        <v>100</v>
      </c>
      <c r="I75">
        <v>19</v>
      </c>
      <c r="J75" t="s">
        <v>25</v>
      </c>
      <c r="K75" t="s">
        <v>50</v>
      </c>
      <c r="L75" t="s">
        <v>336</v>
      </c>
      <c r="M75" t="s">
        <v>38</v>
      </c>
      <c r="N75" t="s">
        <v>29</v>
      </c>
      <c r="O75">
        <v>4.84</v>
      </c>
      <c r="P75">
        <v>6514.26</v>
      </c>
      <c r="R75">
        <v>667</v>
      </c>
      <c r="S75">
        <v>4851.78</v>
      </c>
      <c r="T75" t="s">
        <v>30</v>
      </c>
    </row>
    <row r="76" spans="1:20" x14ac:dyDescent="0.35">
      <c r="A76" t="s">
        <v>337</v>
      </c>
      <c r="B76" t="s">
        <v>338</v>
      </c>
      <c r="C76" t="s">
        <v>339</v>
      </c>
      <c r="D76">
        <v>44967</v>
      </c>
      <c r="E76" t="s">
        <v>71</v>
      </c>
      <c r="F76">
        <v>4142.2299999999996</v>
      </c>
      <c r="G76">
        <v>22722.02</v>
      </c>
      <c r="H76" t="s">
        <v>49</v>
      </c>
      <c r="I76">
        <v>31</v>
      </c>
      <c r="J76" t="s">
        <v>25</v>
      </c>
      <c r="K76" t="s">
        <v>26</v>
      </c>
      <c r="L76" t="s">
        <v>340</v>
      </c>
      <c r="M76" t="s">
        <v>38</v>
      </c>
      <c r="N76" t="s">
        <v>44</v>
      </c>
      <c r="O76">
        <v>1.05</v>
      </c>
      <c r="R76">
        <v>615</v>
      </c>
      <c r="S76">
        <v>11544.84</v>
      </c>
      <c r="T76" t="s">
        <v>63</v>
      </c>
    </row>
    <row r="77" spans="1:20" x14ac:dyDescent="0.35">
      <c r="A77" t="s">
        <v>341</v>
      </c>
      <c r="B77" t="s">
        <v>342</v>
      </c>
      <c r="C77" t="s">
        <v>343</v>
      </c>
      <c r="D77">
        <v>44865</v>
      </c>
      <c r="E77" t="s">
        <v>23</v>
      </c>
      <c r="F77">
        <v>7616.56</v>
      </c>
      <c r="G77">
        <v>28115.63</v>
      </c>
      <c r="H77" t="s">
        <v>35</v>
      </c>
      <c r="I77">
        <v>61</v>
      </c>
      <c r="J77" t="s">
        <v>25</v>
      </c>
      <c r="K77" t="s">
        <v>50</v>
      </c>
      <c r="L77" t="s">
        <v>344</v>
      </c>
      <c r="M77" t="s">
        <v>28</v>
      </c>
      <c r="N77" t="s">
        <v>62</v>
      </c>
      <c r="O77">
        <v>1.69</v>
      </c>
      <c r="P77">
        <v>23207.26</v>
      </c>
      <c r="R77">
        <v>796</v>
      </c>
      <c r="S77">
        <v>11847.27</v>
      </c>
      <c r="T77" t="s">
        <v>45</v>
      </c>
    </row>
    <row r="78" spans="1:20" x14ac:dyDescent="0.35">
      <c r="A78" t="s">
        <v>345</v>
      </c>
      <c r="B78" t="s">
        <v>346</v>
      </c>
      <c r="C78" t="s">
        <v>347</v>
      </c>
      <c r="D78">
        <v>44885</v>
      </c>
      <c r="E78" t="s">
        <v>23</v>
      </c>
      <c r="F78">
        <v>9045.7199999999993</v>
      </c>
      <c r="G78">
        <v>13489.23</v>
      </c>
      <c r="H78" t="s">
        <v>100</v>
      </c>
      <c r="I78">
        <v>47</v>
      </c>
      <c r="J78" t="s">
        <v>42</v>
      </c>
      <c r="K78" t="s">
        <v>50</v>
      </c>
      <c r="L78" t="s">
        <v>237</v>
      </c>
      <c r="M78" t="s">
        <v>52</v>
      </c>
      <c r="N78" t="s">
        <v>29</v>
      </c>
      <c r="O78">
        <v>3.62</v>
      </c>
      <c r="Q78">
        <v>28</v>
      </c>
      <c r="R78">
        <v>644</v>
      </c>
      <c r="S78">
        <v>7449.6</v>
      </c>
      <c r="T78" t="s">
        <v>45</v>
      </c>
    </row>
    <row r="79" spans="1:20" x14ac:dyDescent="0.35">
      <c r="A79" t="s">
        <v>348</v>
      </c>
      <c r="B79" t="s">
        <v>349</v>
      </c>
      <c r="C79" t="s">
        <v>350</v>
      </c>
      <c r="D79">
        <v>44875</v>
      </c>
      <c r="E79" t="s">
        <v>34</v>
      </c>
      <c r="F79">
        <v>2404.36</v>
      </c>
      <c r="G79">
        <v>37384.01</v>
      </c>
      <c r="H79" t="s">
        <v>100</v>
      </c>
      <c r="I79">
        <v>66</v>
      </c>
      <c r="J79" t="s">
        <v>25</v>
      </c>
      <c r="K79" t="s">
        <v>50</v>
      </c>
      <c r="L79" t="s">
        <v>351</v>
      </c>
      <c r="M79" t="s">
        <v>28</v>
      </c>
      <c r="N79" t="s">
        <v>29</v>
      </c>
      <c r="O79">
        <v>1.1000000000000001</v>
      </c>
      <c r="P79">
        <v>44315.27</v>
      </c>
      <c r="R79">
        <v>772</v>
      </c>
      <c r="S79">
        <v>5864.91</v>
      </c>
      <c r="T79" t="s">
        <v>63</v>
      </c>
    </row>
    <row r="80" spans="1:20" x14ac:dyDescent="0.35">
      <c r="A80" t="s">
        <v>352</v>
      </c>
      <c r="B80" t="s">
        <v>353</v>
      </c>
      <c r="C80" t="s">
        <v>354</v>
      </c>
      <c r="D80">
        <v>44972</v>
      </c>
      <c r="E80" t="s">
        <v>23</v>
      </c>
      <c r="F80">
        <v>8093.22</v>
      </c>
      <c r="G80">
        <v>4755.1499999999996</v>
      </c>
      <c r="H80" t="s">
        <v>49</v>
      </c>
      <c r="I80">
        <v>29</v>
      </c>
      <c r="J80" t="s">
        <v>25</v>
      </c>
      <c r="K80" t="s">
        <v>26</v>
      </c>
      <c r="L80" t="s">
        <v>355</v>
      </c>
      <c r="M80" t="s">
        <v>28</v>
      </c>
      <c r="N80" t="s">
        <v>62</v>
      </c>
      <c r="O80">
        <v>1.25</v>
      </c>
      <c r="R80">
        <v>414</v>
      </c>
      <c r="S80">
        <v>8117.04</v>
      </c>
      <c r="T80" t="s">
        <v>45</v>
      </c>
    </row>
    <row r="81" spans="1:20" x14ac:dyDescent="0.35">
      <c r="A81" t="s">
        <v>356</v>
      </c>
      <c r="B81" t="s">
        <v>357</v>
      </c>
      <c r="C81" t="s">
        <v>358</v>
      </c>
      <c r="D81">
        <v>44894</v>
      </c>
      <c r="E81" t="s">
        <v>34</v>
      </c>
      <c r="F81">
        <v>685.03</v>
      </c>
      <c r="G81">
        <v>43759.15</v>
      </c>
      <c r="H81" t="s">
        <v>35</v>
      </c>
      <c r="I81">
        <v>43</v>
      </c>
      <c r="J81" t="s">
        <v>25</v>
      </c>
      <c r="K81" t="s">
        <v>36</v>
      </c>
      <c r="L81" t="s">
        <v>359</v>
      </c>
      <c r="M81" t="s">
        <v>28</v>
      </c>
      <c r="N81" t="s">
        <v>29</v>
      </c>
      <c r="O81">
        <v>1.88</v>
      </c>
      <c r="P81">
        <v>5953.65</v>
      </c>
      <c r="R81">
        <v>399</v>
      </c>
      <c r="S81">
        <v>3211.78</v>
      </c>
      <c r="T81" t="s">
        <v>30</v>
      </c>
    </row>
    <row r="82" spans="1:20" x14ac:dyDescent="0.35">
      <c r="A82" t="s">
        <v>360</v>
      </c>
      <c r="B82" t="s">
        <v>361</v>
      </c>
      <c r="C82" t="s">
        <v>362</v>
      </c>
      <c r="D82">
        <v>44725</v>
      </c>
      <c r="E82" t="s">
        <v>71</v>
      </c>
      <c r="F82">
        <v>8998.59</v>
      </c>
      <c r="G82">
        <v>41577.72</v>
      </c>
      <c r="H82" t="s">
        <v>24</v>
      </c>
      <c r="I82">
        <v>61</v>
      </c>
      <c r="J82" t="s">
        <v>25</v>
      </c>
      <c r="K82" t="s">
        <v>26</v>
      </c>
      <c r="L82" t="s">
        <v>363</v>
      </c>
      <c r="M82" t="s">
        <v>52</v>
      </c>
      <c r="N82" t="s">
        <v>29</v>
      </c>
      <c r="O82">
        <v>3.05</v>
      </c>
      <c r="Q82">
        <v>1</v>
      </c>
      <c r="R82">
        <v>737</v>
      </c>
      <c r="S82">
        <v>2597.09</v>
      </c>
      <c r="T82" t="s">
        <v>63</v>
      </c>
    </row>
    <row r="83" spans="1:20" x14ac:dyDescent="0.35">
      <c r="A83" t="s">
        <v>364</v>
      </c>
      <c r="B83" t="s">
        <v>365</v>
      </c>
      <c r="C83" t="s">
        <v>366</v>
      </c>
      <c r="D83">
        <v>44845</v>
      </c>
      <c r="E83" t="s">
        <v>34</v>
      </c>
      <c r="F83">
        <v>6542.61</v>
      </c>
      <c r="G83">
        <v>11586.95</v>
      </c>
      <c r="H83" t="s">
        <v>35</v>
      </c>
      <c r="I83">
        <v>50</v>
      </c>
      <c r="J83" t="s">
        <v>42</v>
      </c>
      <c r="K83" t="s">
        <v>36</v>
      </c>
      <c r="L83" t="s">
        <v>367</v>
      </c>
      <c r="M83" t="s">
        <v>52</v>
      </c>
      <c r="N83" t="s">
        <v>44</v>
      </c>
      <c r="O83">
        <v>3.18</v>
      </c>
      <c r="P83">
        <v>26402.93</v>
      </c>
      <c r="Q83">
        <v>8</v>
      </c>
      <c r="R83">
        <v>644</v>
      </c>
      <c r="S83">
        <v>3450.84</v>
      </c>
      <c r="T83" t="s">
        <v>45</v>
      </c>
    </row>
    <row r="84" spans="1:20" x14ac:dyDescent="0.35">
      <c r="A84" t="s">
        <v>368</v>
      </c>
      <c r="B84" t="s">
        <v>369</v>
      </c>
      <c r="C84" t="s">
        <v>370</v>
      </c>
      <c r="D84">
        <v>44643</v>
      </c>
      <c r="E84" t="s">
        <v>23</v>
      </c>
      <c r="F84">
        <v>8754.84</v>
      </c>
      <c r="G84">
        <v>40656.9</v>
      </c>
      <c r="H84" t="s">
        <v>125</v>
      </c>
      <c r="I84">
        <v>30</v>
      </c>
      <c r="J84" t="s">
        <v>42</v>
      </c>
      <c r="K84" t="s">
        <v>50</v>
      </c>
      <c r="L84" t="s">
        <v>371</v>
      </c>
      <c r="M84" t="s">
        <v>28</v>
      </c>
      <c r="N84" t="s">
        <v>44</v>
      </c>
      <c r="O84">
        <v>1.1399999999999999</v>
      </c>
      <c r="R84">
        <v>648</v>
      </c>
      <c r="S84">
        <v>4432.8900000000003</v>
      </c>
      <c r="T84" t="s">
        <v>30</v>
      </c>
    </row>
    <row r="85" spans="1:20" x14ac:dyDescent="0.35">
      <c r="A85" t="s">
        <v>372</v>
      </c>
      <c r="B85" t="s">
        <v>373</v>
      </c>
      <c r="C85" t="s">
        <v>374</v>
      </c>
      <c r="D85">
        <v>44820</v>
      </c>
      <c r="E85" t="s">
        <v>71</v>
      </c>
      <c r="F85">
        <v>101.87</v>
      </c>
      <c r="G85">
        <v>39531.53</v>
      </c>
      <c r="H85" t="s">
        <v>100</v>
      </c>
      <c r="I85">
        <v>31</v>
      </c>
      <c r="J85" t="s">
        <v>25</v>
      </c>
      <c r="K85" t="s">
        <v>36</v>
      </c>
      <c r="L85" t="s">
        <v>375</v>
      </c>
      <c r="M85" t="s">
        <v>52</v>
      </c>
      <c r="N85" t="s">
        <v>44</v>
      </c>
      <c r="O85">
        <v>1.68</v>
      </c>
      <c r="P85">
        <v>43716.66</v>
      </c>
      <c r="R85">
        <v>438</v>
      </c>
      <c r="S85">
        <v>8554.2999999999993</v>
      </c>
      <c r="T85" t="s">
        <v>45</v>
      </c>
    </row>
    <row r="86" spans="1:20" x14ac:dyDescent="0.35">
      <c r="A86" t="s">
        <v>376</v>
      </c>
      <c r="B86" t="s">
        <v>377</v>
      </c>
      <c r="C86" t="s">
        <v>378</v>
      </c>
      <c r="D86">
        <v>45107</v>
      </c>
      <c r="E86" t="s">
        <v>56</v>
      </c>
      <c r="F86">
        <v>1773.9</v>
      </c>
      <c r="G86">
        <v>31978.61</v>
      </c>
      <c r="H86" t="s">
        <v>125</v>
      </c>
      <c r="I86">
        <v>41</v>
      </c>
      <c r="J86" t="s">
        <v>25</v>
      </c>
      <c r="K86" t="s">
        <v>50</v>
      </c>
      <c r="L86" t="s">
        <v>379</v>
      </c>
      <c r="M86" t="s">
        <v>28</v>
      </c>
      <c r="N86" t="s">
        <v>44</v>
      </c>
      <c r="O86">
        <v>3</v>
      </c>
      <c r="P86">
        <v>29396.19</v>
      </c>
      <c r="R86">
        <v>623</v>
      </c>
      <c r="S86">
        <v>13038.78</v>
      </c>
      <c r="T86" t="s">
        <v>63</v>
      </c>
    </row>
    <row r="87" spans="1:20" x14ac:dyDescent="0.35">
      <c r="A87" t="s">
        <v>380</v>
      </c>
      <c r="B87" t="s">
        <v>381</v>
      </c>
      <c r="C87" t="s">
        <v>382</v>
      </c>
      <c r="D87">
        <v>44923</v>
      </c>
      <c r="E87" t="s">
        <v>34</v>
      </c>
      <c r="F87">
        <v>3958.62</v>
      </c>
      <c r="G87">
        <v>19302.490000000002</v>
      </c>
      <c r="H87" t="s">
        <v>24</v>
      </c>
      <c r="I87">
        <v>51</v>
      </c>
      <c r="J87" t="s">
        <v>25</v>
      </c>
      <c r="K87" t="s">
        <v>50</v>
      </c>
      <c r="L87" t="s">
        <v>383</v>
      </c>
      <c r="M87" t="s">
        <v>52</v>
      </c>
      <c r="N87" t="s">
        <v>44</v>
      </c>
      <c r="O87">
        <v>3.38</v>
      </c>
      <c r="P87">
        <v>36033.61</v>
      </c>
      <c r="R87">
        <v>601</v>
      </c>
      <c r="S87">
        <v>5063.3500000000004</v>
      </c>
      <c r="T87" t="s">
        <v>45</v>
      </c>
    </row>
    <row r="88" spans="1:20" x14ac:dyDescent="0.35">
      <c r="A88" t="s">
        <v>384</v>
      </c>
      <c r="B88" t="s">
        <v>385</v>
      </c>
      <c r="C88" t="s">
        <v>386</v>
      </c>
      <c r="D88">
        <v>44792</v>
      </c>
      <c r="E88" t="s">
        <v>71</v>
      </c>
      <c r="F88">
        <v>3857.08</v>
      </c>
      <c r="G88">
        <v>14303.44</v>
      </c>
      <c r="H88" t="s">
        <v>125</v>
      </c>
      <c r="I88">
        <v>61</v>
      </c>
      <c r="J88" t="s">
        <v>42</v>
      </c>
      <c r="K88" t="s">
        <v>26</v>
      </c>
      <c r="L88" t="s">
        <v>387</v>
      </c>
      <c r="M88" t="s">
        <v>52</v>
      </c>
      <c r="N88" t="s">
        <v>44</v>
      </c>
      <c r="O88">
        <v>1.59</v>
      </c>
      <c r="Q88">
        <v>14</v>
      </c>
      <c r="R88">
        <v>593</v>
      </c>
      <c r="S88">
        <v>14157.11</v>
      </c>
      <c r="T88" t="s">
        <v>45</v>
      </c>
    </row>
    <row r="89" spans="1:20" x14ac:dyDescent="0.35">
      <c r="A89" t="s">
        <v>388</v>
      </c>
      <c r="B89" t="s">
        <v>389</v>
      </c>
      <c r="C89" t="s">
        <v>390</v>
      </c>
      <c r="D89">
        <v>44755</v>
      </c>
      <c r="E89" t="s">
        <v>34</v>
      </c>
      <c r="F89">
        <v>2344.63</v>
      </c>
      <c r="G89">
        <v>12357.4</v>
      </c>
      <c r="H89" t="s">
        <v>35</v>
      </c>
      <c r="I89">
        <v>43</v>
      </c>
      <c r="J89" t="s">
        <v>42</v>
      </c>
      <c r="K89" t="s">
        <v>50</v>
      </c>
      <c r="L89" t="s">
        <v>391</v>
      </c>
      <c r="M89" t="s">
        <v>38</v>
      </c>
      <c r="N89" t="s">
        <v>62</v>
      </c>
      <c r="O89">
        <v>2.6</v>
      </c>
      <c r="P89">
        <v>24784.51</v>
      </c>
      <c r="R89">
        <v>828</v>
      </c>
      <c r="S89">
        <v>14413.8</v>
      </c>
      <c r="T89" t="s">
        <v>45</v>
      </c>
    </row>
    <row r="90" spans="1:20" x14ac:dyDescent="0.35">
      <c r="A90" t="s">
        <v>392</v>
      </c>
      <c r="B90" t="s">
        <v>393</v>
      </c>
      <c r="C90" t="s">
        <v>394</v>
      </c>
      <c r="D90">
        <v>44809</v>
      </c>
      <c r="E90" t="s">
        <v>71</v>
      </c>
      <c r="F90">
        <v>3877.96</v>
      </c>
      <c r="G90">
        <v>16611.84</v>
      </c>
      <c r="H90" t="s">
        <v>125</v>
      </c>
      <c r="I90">
        <v>38</v>
      </c>
      <c r="J90" t="s">
        <v>42</v>
      </c>
      <c r="K90" t="s">
        <v>26</v>
      </c>
      <c r="L90" t="s">
        <v>395</v>
      </c>
      <c r="M90" t="s">
        <v>28</v>
      </c>
      <c r="N90" t="s">
        <v>44</v>
      </c>
      <c r="O90">
        <v>4.62</v>
      </c>
      <c r="P90">
        <v>25082.9</v>
      </c>
      <c r="Q90">
        <v>10</v>
      </c>
      <c r="R90">
        <v>591</v>
      </c>
      <c r="S90">
        <v>14465.76</v>
      </c>
      <c r="T90" t="s">
        <v>30</v>
      </c>
    </row>
    <row r="91" spans="1:20" x14ac:dyDescent="0.35">
      <c r="A91" t="s">
        <v>396</v>
      </c>
      <c r="B91" t="s">
        <v>397</v>
      </c>
      <c r="C91" t="s">
        <v>398</v>
      </c>
      <c r="D91">
        <v>45023</v>
      </c>
      <c r="E91" t="s">
        <v>71</v>
      </c>
      <c r="F91">
        <v>1375.6</v>
      </c>
      <c r="G91">
        <v>45274.36</v>
      </c>
      <c r="H91" t="s">
        <v>24</v>
      </c>
      <c r="I91">
        <v>45</v>
      </c>
      <c r="J91" t="s">
        <v>42</v>
      </c>
      <c r="K91" t="s">
        <v>36</v>
      </c>
      <c r="L91" t="s">
        <v>399</v>
      </c>
      <c r="M91" t="s">
        <v>38</v>
      </c>
      <c r="N91" t="s">
        <v>29</v>
      </c>
      <c r="O91">
        <v>5</v>
      </c>
      <c r="P91">
        <v>23491.47</v>
      </c>
      <c r="R91">
        <v>373</v>
      </c>
      <c r="S91">
        <v>12888.32</v>
      </c>
      <c r="T91" t="s">
        <v>30</v>
      </c>
    </row>
    <row r="92" spans="1:20" x14ac:dyDescent="0.35">
      <c r="A92" t="s">
        <v>400</v>
      </c>
      <c r="B92" t="s">
        <v>401</v>
      </c>
      <c r="C92" t="s">
        <v>402</v>
      </c>
      <c r="D92">
        <v>44641</v>
      </c>
      <c r="E92" t="s">
        <v>34</v>
      </c>
      <c r="F92">
        <v>4186.34</v>
      </c>
      <c r="G92">
        <v>4804.3999999999996</v>
      </c>
      <c r="H92" t="s">
        <v>24</v>
      </c>
      <c r="I92">
        <v>65</v>
      </c>
      <c r="J92" t="s">
        <v>25</v>
      </c>
      <c r="K92" t="s">
        <v>36</v>
      </c>
      <c r="L92" t="s">
        <v>367</v>
      </c>
      <c r="M92" t="s">
        <v>38</v>
      </c>
      <c r="N92" t="s">
        <v>62</v>
      </c>
      <c r="O92">
        <v>4.95</v>
      </c>
      <c r="R92">
        <v>783</v>
      </c>
      <c r="S92">
        <v>6729.73</v>
      </c>
      <c r="T92" t="s">
        <v>45</v>
      </c>
    </row>
    <row r="93" spans="1:20" x14ac:dyDescent="0.35">
      <c r="A93" t="s">
        <v>403</v>
      </c>
      <c r="B93" t="s">
        <v>404</v>
      </c>
      <c r="C93" t="s">
        <v>405</v>
      </c>
      <c r="D93">
        <v>44742</v>
      </c>
      <c r="E93" t="s">
        <v>56</v>
      </c>
      <c r="F93">
        <v>8043.31</v>
      </c>
      <c r="G93">
        <v>41614.69</v>
      </c>
      <c r="H93" t="s">
        <v>24</v>
      </c>
      <c r="I93">
        <v>53</v>
      </c>
      <c r="J93" t="s">
        <v>42</v>
      </c>
      <c r="K93" t="s">
        <v>50</v>
      </c>
      <c r="L93" t="s">
        <v>406</v>
      </c>
      <c r="M93" t="s">
        <v>28</v>
      </c>
      <c r="N93" t="s">
        <v>29</v>
      </c>
      <c r="O93">
        <v>4.53</v>
      </c>
      <c r="P93">
        <v>16269.95</v>
      </c>
      <c r="Q93">
        <v>7</v>
      </c>
      <c r="R93">
        <v>315</v>
      </c>
      <c r="S93">
        <v>2944.89</v>
      </c>
      <c r="T93" t="s">
        <v>45</v>
      </c>
    </row>
    <row r="94" spans="1:20" x14ac:dyDescent="0.35">
      <c r="A94" t="s">
        <v>407</v>
      </c>
      <c r="B94" t="s">
        <v>408</v>
      </c>
      <c r="C94" t="s">
        <v>409</v>
      </c>
      <c r="D94">
        <v>44894</v>
      </c>
      <c r="E94" t="s">
        <v>71</v>
      </c>
      <c r="F94">
        <v>4842.79</v>
      </c>
      <c r="G94">
        <v>18095.61</v>
      </c>
      <c r="H94" t="s">
        <v>35</v>
      </c>
      <c r="I94">
        <v>57</v>
      </c>
      <c r="J94" t="s">
        <v>42</v>
      </c>
      <c r="K94" t="s">
        <v>26</v>
      </c>
      <c r="L94" t="s">
        <v>410</v>
      </c>
      <c r="M94" t="s">
        <v>28</v>
      </c>
      <c r="N94" t="s">
        <v>44</v>
      </c>
      <c r="O94">
        <v>2.58</v>
      </c>
      <c r="R94">
        <v>825</v>
      </c>
      <c r="S94">
        <v>9394.64</v>
      </c>
      <c r="T94" t="s">
        <v>63</v>
      </c>
    </row>
    <row r="95" spans="1:20" x14ac:dyDescent="0.35">
      <c r="A95" t="s">
        <v>411</v>
      </c>
      <c r="B95" t="s">
        <v>412</v>
      </c>
      <c r="C95" t="s">
        <v>413</v>
      </c>
      <c r="D95">
        <v>44840</v>
      </c>
      <c r="E95" t="s">
        <v>71</v>
      </c>
      <c r="F95">
        <v>278.2</v>
      </c>
      <c r="G95">
        <v>26558.37</v>
      </c>
      <c r="H95" t="s">
        <v>24</v>
      </c>
      <c r="I95">
        <v>19</v>
      </c>
      <c r="J95" t="s">
        <v>25</v>
      </c>
      <c r="K95" t="s">
        <v>50</v>
      </c>
      <c r="L95" t="s">
        <v>414</v>
      </c>
      <c r="M95" t="s">
        <v>52</v>
      </c>
      <c r="N95" t="s">
        <v>44</v>
      </c>
      <c r="O95">
        <v>3.75</v>
      </c>
      <c r="P95">
        <v>19988.849999999999</v>
      </c>
      <c r="R95">
        <v>635</v>
      </c>
      <c r="S95">
        <v>9262.86</v>
      </c>
      <c r="T95" t="s">
        <v>45</v>
      </c>
    </row>
    <row r="96" spans="1:20" x14ac:dyDescent="0.35">
      <c r="A96" t="s">
        <v>415</v>
      </c>
      <c r="B96" t="s">
        <v>416</v>
      </c>
      <c r="C96" t="s">
        <v>417</v>
      </c>
      <c r="D96">
        <v>44839</v>
      </c>
      <c r="E96" t="s">
        <v>71</v>
      </c>
      <c r="F96">
        <v>4272.3</v>
      </c>
      <c r="G96">
        <v>39929.800000000003</v>
      </c>
      <c r="H96" t="s">
        <v>100</v>
      </c>
      <c r="I96">
        <v>59</v>
      </c>
      <c r="J96" t="s">
        <v>25</v>
      </c>
      <c r="K96" t="s">
        <v>26</v>
      </c>
      <c r="L96" t="s">
        <v>418</v>
      </c>
      <c r="M96" t="s">
        <v>28</v>
      </c>
      <c r="N96" t="s">
        <v>29</v>
      </c>
      <c r="O96">
        <v>2.67</v>
      </c>
      <c r="R96">
        <v>815</v>
      </c>
      <c r="S96">
        <v>13049.68</v>
      </c>
      <c r="T96" t="s">
        <v>63</v>
      </c>
    </row>
    <row r="97" spans="1:20" x14ac:dyDescent="0.35">
      <c r="A97" t="s">
        <v>419</v>
      </c>
      <c r="B97" t="s">
        <v>420</v>
      </c>
      <c r="C97" t="s">
        <v>421</v>
      </c>
      <c r="D97">
        <v>44773</v>
      </c>
      <c r="E97" t="s">
        <v>56</v>
      </c>
      <c r="F97">
        <v>369.03</v>
      </c>
      <c r="G97">
        <v>44334.45</v>
      </c>
      <c r="H97" t="s">
        <v>24</v>
      </c>
      <c r="I97">
        <v>26</v>
      </c>
      <c r="J97" t="s">
        <v>42</v>
      </c>
      <c r="K97" t="s">
        <v>26</v>
      </c>
      <c r="L97" t="s">
        <v>422</v>
      </c>
      <c r="M97" t="s">
        <v>38</v>
      </c>
      <c r="N97" t="s">
        <v>29</v>
      </c>
      <c r="O97">
        <v>3.59</v>
      </c>
      <c r="R97">
        <v>426</v>
      </c>
      <c r="S97">
        <v>14947.88</v>
      </c>
      <c r="T97" t="s">
        <v>30</v>
      </c>
    </row>
    <row r="98" spans="1:20" x14ac:dyDescent="0.35">
      <c r="A98" t="s">
        <v>423</v>
      </c>
      <c r="B98" t="s">
        <v>424</v>
      </c>
      <c r="C98" t="s">
        <v>425</v>
      </c>
      <c r="D98">
        <v>44905</v>
      </c>
      <c r="E98" t="s">
        <v>56</v>
      </c>
      <c r="F98">
        <v>9665.81</v>
      </c>
      <c r="G98">
        <v>17894.29</v>
      </c>
      <c r="H98" t="s">
        <v>125</v>
      </c>
      <c r="I98">
        <v>40</v>
      </c>
      <c r="J98" t="s">
        <v>42</v>
      </c>
      <c r="K98" t="s">
        <v>26</v>
      </c>
      <c r="L98" t="s">
        <v>426</v>
      </c>
      <c r="M98" t="s">
        <v>38</v>
      </c>
      <c r="N98" t="s">
        <v>29</v>
      </c>
      <c r="O98">
        <v>2.2400000000000002</v>
      </c>
      <c r="P98">
        <v>5604.03</v>
      </c>
      <c r="Q98">
        <v>18</v>
      </c>
      <c r="R98">
        <v>817</v>
      </c>
      <c r="S98">
        <v>8606.0400000000009</v>
      </c>
      <c r="T98" t="s">
        <v>45</v>
      </c>
    </row>
    <row r="99" spans="1:20" x14ac:dyDescent="0.35">
      <c r="A99" t="s">
        <v>427</v>
      </c>
      <c r="B99" t="s">
        <v>428</v>
      </c>
      <c r="C99" t="s">
        <v>429</v>
      </c>
      <c r="D99">
        <v>44751</v>
      </c>
      <c r="E99" t="s">
        <v>23</v>
      </c>
      <c r="F99">
        <v>1361.79</v>
      </c>
      <c r="G99">
        <v>23630.33</v>
      </c>
      <c r="H99" t="s">
        <v>125</v>
      </c>
      <c r="I99">
        <v>32</v>
      </c>
      <c r="J99" t="s">
        <v>42</v>
      </c>
      <c r="K99" t="s">
        <v>36</v>
      </c>
      <c r="L99" t="s">
        <v>430</v>
      </c>
      <c r="M99" t="s">
        <v>28</v>
      </c>
      <c r="N99" t="s">
        <v>62</v>
      </c>
      <c r="O99">
        <v>3.42</v>
      </c>
      <c r="R99">
        <v>428</v>
      </c>
      <c r="S99">
        <v>6487.65</v>
      </c>
      <c r="T99" t="s">
        <v>63</v>
      </c>
    </row>
    <row r="100" spans="1:20" x14ac:dyDescent="0.35">
      <c r="A100" t="s">
        <v>431</v>
      </c>
      <c r="B100" t="s">
        <v>432</v>
      </c>
      <c r="C100" t="s">
        <v>433</v>
      </c>
      <c r="D100">
        <v>45053</v>
      </c>
      <c r="E100" t="s">
        <v>34</v>
      </c>
      <c r="F100">
        <v>7106.11</v>
      </c>
      <c r="G100">
        <v>21311.29</v>
      </c>
      <c r="H100" t="s">
        <v>125</v>
      </c>
      <c r="I100">
        <v>30</v>
      </c>
      <c r="J100" t="s">
        <v>42</v>
      </c>
      <c r="K100" t="s">
        <v>26</v>
      </c>
      <c r="L100" t="s">
        <v>434</v>
      </c>
      <c r="M100" t="s">
        <v>38</v>
      </c>
      <c r="N100" t="s">
        <v>44</v>
      </c>
      <c r="O100">
        <v>3.1</v>
      </c>
      <c r="R100">
        <v>810</v>
      </c>
      <c r="S100">
        <v>4416.72</v>
      </c>
      <c r="T100" t="s">
        <v>30</v>
      </c>
    </row>
    <row r="101" spans="1:20" x14ac:dyDescent="0.35">
      <c r="A101" t="s">
        <v>435</v>
      </c>
      <c r="B101" t="s">
        <v>436</v>
      </c>
      <c r="C101" t="s">
        <v>437</v>
      </c>
      <c r="D101">
        <v>44792</v>
      </c>
      <c r="E101" t="s">
        <v>56</v>
      </c>
      <c r="F101">
        <v>9730.49</v>
      </c>
      <c r="G101">
        <v>1649.3</v>
      </c>
      <c r="H101" t="s">
        <v>35</v>
      </c>
      <c r="I101">
        <v>40</v>
      </c>
      <c r="J101" t="s">
        <v>25</v>
      </c>
      <c r="K101" t="s">
        <v>36</v>
      </c>
      <c r="L101" t="s">
        <v>438</v>
      </c>
      <c r="M101" t="s">
        <v>52</v>
      </c>
      <c r="N101" t="s">
        <v>29</v>
      </c>
      <c r="O101">
        <v>1.1000000000000001</v>
      </c>
      <c r="P101">
        <v>5974.16</v>
      </c>
      <c r="Q101">
        <v>10</v>
      </c>
      <c r="R101">
        <v>722</v>
      </c>
      <c r="S101">
        <v>2062.4</v>
      </c>
      <c r="T101" t="s">
        <v>63</v>
      </c>
    </row>
    <row r="102" spans="1:20" x14ac:dyDescent="0.35">
      <c r="A102" t="s">
        <v>439</v>
      </c>
      <c r="B102" t="s">
        <v>440</v>
      </c>
      <c r="C102" t="s">
        <v>441</v>
      </c>
      <c r="D102">
        <v>44644</v>
      </c>
      <c r="E102" t="s">
        <v>34</v>
      </c>
      <c r="F102">
        <v>8277.7900000000009</v>
      </c>
      <c r="G102">
        <v>15501.2</v>
      </c>
      <c r="H102" t="s">
        <v>125</v>
      </c>
      <c r="I102">
        <v>34</v>
      </c>
      <c r="J102" t="s">
        <v>25</v>
      </c>
      <c r="K102" t="s">
        <v>26</v>
      </c>
      <c r="L102" t="s">
        <v>237</v>
      </c>
      <c r="M102" t="s">
        <v>38</v>
      </c>
      <c r="N102" t="s">
        <v>44</v>
      </c>
      <c r="O102">
        <v>4.16</v>
      </c>
      <c r="R102">
        <v>684</v>
      </c>
      <c r="S102">
        <v>8618.48</v>
      </c>
      <c r="T102" t="s">
        <v>30</v>
      </c>
    </row>
    <row r="103" spans="1:20" x14ac:dyDescent="0.35">
      <c r="A103" t="s">
        <v>442</v>
      </c>
      <c r="B103" t="s">
        <v>443</v>
      </c>
      <c r="C103" t="s">
        <v>444</v>
      </c>
      <c r="D103">
        <v>45091</v>
      </c>
      <c r="E103" t="s">
        <v>23</v>
      </c>
      <c r="F103">
        <v>7023.22</v>
      </c>
      <c r="G103">
        <v>23500.27</v>
      </c>
      <c r="H103" t="s">
        <v>35</v>
      </c>
      <c r="I103">
        <v>65</v>
      </c>
      <c r="J103" t="s">
        <v>42</v>
      </c>
      <c r="K103" t="s">
        <v>36</v>
      </c>
      <c r="L103" t="s">
        <v>445</v>
      </c>
      <c r="M103" t="s">
        <v>52</v>
      </c>
      <c r="N103" t="s">
        <v>29</v>
      </c>
      <c r="O103">
        <v>1.05</v>
      </c>
      <c r="Q103">
        <v>14</v>
      </c>
      <c r="R103">
        <v>531</v>
      </c>
      <c r="S103">
        <v>9221.74</v>
      </c>
      <c r="T103" t="s">
        <v>45</v>
      </c>
    </row>
    <row r="104" spans="1:20" x14ac:dyDescent="0.35">
      <c r="A104" t="s">
        <v>446</v>
      </c>
      <c r="B104" t="s">
        <v>447</v>
      </c>
      <c r="C104" t="s">
        <v>448</v>
      </c>
      <c r="D104">
        <v>44638</v>
      </c>
      <c r="E104" t="s">
        <v>34</v>
      </c>
      <c r="F104">
        <v>8410.66</v>
      </c>
      <c r="G104">
        <v>21143.59</v>
      </c>
      <c r="H104" t="s">
        <v>35</v>
      </c>
      <c r="I104">
        <v>19</v>
      </c>
      <c r="J104" t="s">
        <v>42</v>
      </c>
      <c r="K104" t="s">
        <v>36</v>
      </c>
      <c r="L104" t="s">
        <v>449</v>
      </c>
      <c r="M104" t="s">
        <v>38</v>
      </c>
      <c r="N104" t="s">
        <v>44</v>
      </c>
      <c r="O104">
        <v>2.17</v>
      </c>
      <c r="R104">
        <v>494</v>
      </c>
      <c r="S104">
        <v>12724.2</v>
      </c>
      <c r="T104" t="s">
        <v>63</v>
      </c>
    </row>
    <row r="105" spans="1:20" x14ac:dyDescent="0.35">
      <c r="A105" t="s">
        <v>450</v>
      </c>
      <c r="B105" t="s">
        <v>451</v>
      </c>
      <c r="C105" t="s">
        <v>452</v>
      </c>
      <c r="D105">
        <v>44783</v>
      </c>
      <c r="E105" t="s">
        <v>56</v>
      </c>
      <c r="F105">
        <v>9819.81</v>
      </c>
      <c r="G105">
        <v>36374.53</v>
      </c>
      <c r="H105" t="s">
        <v>24</v>
      </c>
      <c r="I105">
        <v>37</v>
      </c>
      <c r="J105" t="s">
        <v>42</v>
      </c>
      <c r="K105" t="s">
        <v>36</v>
      </c>
      <c r="L105" t="s">
        <v>453</v>
      </c>
      <c r="M105" t="s">
        <v>52</v>
      </c>
      <c r="N105" t="s">
        <v>62</v>
      </c>
      <c r="O105">
        <v>1.02</v>
      </c>
      <c r="R105">
        <v>364</v>
      </c>
      <c r="S105">
        <v>8559.5</v>
      </c>
      <c r="T105" t="s">
        <v>45</v>
      </c>
    </row>
    <row r="106" spans="1:20" x14ac:dyDescent="0.35">
      <c r="A106" t="s">
        <v>454</v>
      </c>
      <c r="B106" t="s">
        <v>455</v>
      </c>
      <c r="C106" t="s">
        <v>456</v>
      </c>
      <c r="D106">
        <v>44926</v>
      </c>
      <c r="E106" t="s">
        <v>34</v>
      </c>
      <c r="F106">
        <v>6251.31</v>
      </c>
      <c r="G106">
        <v>19855.38</v>
      </c>
      <c r="H106" t="s">
        <v>100</v>
      </c>
      <c r="I106">
        <v>37</v>
      </c>
      <c r="J106" t="s">
        <v>42</v>
      </c>
      <c r="K106" t="s">
        <v>50</v>
      </c>
      <c r="L106" t="s">
        <v>457</v>
      </c>
      <c r="M106" t="s">
        <v>52</v>
      </c>
      <c r="N106" t="s">
        <v>44</v>
      </c>
      <c r="O106">
        <v>2.5</v>
      </c>
      <c r="P106">
        <v>38463.29</v>
      </c>
      <c r="R106">
        <v>576</v>
      </c>
      <c r="S106">
        <v>13914.09</v>
      </c>
      <c r="T106" t="s">
        <v>63</v>
      </c>
    </row>
    <row r="107" spans="1:20" x14ac:dyDescent="0.35">
      <c r="A107" t="s">
        <v>458</v>
      </c>
      <c r="B107" t="s">
        <v>459</v>
      </c>
      <c r="C107" t="s">
        <v>460</v>
      </c>
      <c r="D107">
        <v>44808</v>
      </c>
      <c r="E107" t="s">
        <v>56</v>
      </c>
      <c r="F107">
        <v>5635.93</v>
      </c>
      <c r="G107">
        <v>24979.45</v>
      </c>
      <c r="H107" t="s">
        <v>24</v>
      </c>
      <c r="I107">
        <v>63</v>
      </c>
      <c r="J107" t="s">
        <v>42</v>
      </c>
      <c r="K107" t="s">
        <v>26</v>
      </c>
      <c r="L107" t="s">
        <v>461</v>
      </c>
      <c r="M107" t="s">
        <v>28</v>
      </c>
      <c r="N107" t="s">
        <v>29</v>
      </c>
      <c r="O107">
        <v>1.25</v>
      </c>
      <c r="Q107">
        <v>2</v>
      </c>
      <c r="R107">
        <v>523</v>
      </c>
      <c r="S107">
        <v>10165.09</v>
      </c>
      <c r="T107" t="s">
        <v>30</v>
      </c>
    </row>
    <row r="108" spans="1:20" x14ac:dyDescent="0.35">
      <c r="A108" t="s">
        <v>462</v>
      </c>
      <c r="B108" t="s">
        <v>463</v>
      </c>
      <c r="C108" t="s">
        <v>464</v>
      </c>
      <c r="D108">
        <v>44886</v>
      </c>
      <c r="E108" t="s">
        <v>34</v>
      </c>
      <c r="F108">
        <v>6319.56</v>
      </c>
      <c r="G108">
        <v>22050.82</v>
      </c>
      <c r="H108" t="s">
        <v>24</v>
      </c>
      <c r="I108">
        <v>20</v>
      </c>
      <c r="J108" t="s">
        <v>25</v>
      </c>
      <c r="K108" t="s">
        <v>50</v>
      </c>
      <c r="L108" t="s">
        <v>465</v>
      </c>
      <c r="M108" t="s">
        <v>52</v>
      </c>
      <c r="N108" t="s">
        <v>44</v>
      </c>
      <c r="O108">
        <v>4.6500000000000004</v>
      </c>
      <c r="Q108">
        <v>29</v>
      </c>
      <c r="R108">
        <v>577</v>
      </c>
      <c r="S108">
        <v>12924.37</v>
      </c>
      <c r="T108" t="s">
        <v>63</v>
      </c>
    </row>
    <row r="109" spans="1:20" x14ac:dyDescent="0.35">
      <c r="A109" t="s">
        <v>466</v>
      </c>
      <c r="B109" t="s">
        <v>467</v>
      </c>
      <c r="C109" t="s">
        <v>468</v>
      </c>
      <c r="D109">
        <v>44838</v>
      </c>
      <c r="E109" t="s">
        <v>56</v>
      </c>
      <c r="F109">
        <v>5373.49</v>
      </c>
      <c r="G109">
        <v>37290.68</v>
      </c>
      <c r="H109" t="s">
        <v>35</v>
      </c>
      <c r="I109">
        <v>29</v>
      </c>
      <c r="J109" t="s">
        <v>25</v>
      </c>
      <c r="K109" t="s">
        <v>26</v>
      </c>
      <c r="L109" t="s">
        <v>469</v>
      </c>
      <c r="M109" t="s">
        <v>28</v>
      </c>
      <c r="N109" t="s">
        <v>62</v>
      </c>
      <c r="O109">
        <v>2.66</v>
      </c>
      <c r="P109">
        <v>16017.78</v>
      </c>
      <c r="R109">
        <v>665</v>
      </c>
      <c r="S109">
        <v>3927.92</v>
      </c>
      <c r="T109" t="s">
        <v>63</v>
      </c>
    </row>
    <row r="110" spans="1:20" x14ac:dyDescent="0.35">
      <c r="A110" t="s">
        <v>470</v>
      </c>
      <c r="B110" t="s">
        <v>471</v>
      </c>
      <c r="C110" t="s">
        <v>472</v>
      </c>
      <c r="D110">
        <v>45126</v>
      </c>
      <c r="E110" t="s">
        <v>56</v>
      </c>
      <c r="F110">
        <v>6387.38</v>
      </c>
      <c r="G110">
        <v>43285.65</v>
      </c>
      <c r="H110" t="s">
        <v>35</v>
      </c>
      <c r="I110">
        <v>57</v>
      </c>
      <c r="J110" t="s">
        <v>25</v>
      </c>
      <c r="K110" t="s">
        <v>26</v>
      </c>
      <c r="L110" t="s">
        <v>473</v>
      </c>
      <c r="M110" t="s">
        <v>38</v>
      </c>
      <c r="N110" t="s">
        <v>62</v>
      </c>
      <c r="O110">
        <v>2.84</v>
      </c>
      <c r="P110">
        <v>37244.910000000003</v>
      </c>
      <c r="Q110">
        <v>21</v>
      </c>
      <c r="R110">
        <v>815</v>
      </c>
      <c r="S110">
        <v>13119.37</v>
      </c>
      <c r="T110" t="s">
        <v>45</v>
      </c>
    </row>
    <row r="111" spans="1:20" x14ac:dyDescent="0.35">
      <c r="A111" t="s">
        <v>474</v>
      </c>
      <c r="B111" t="s">
        <v>475</v>
      </c>
      <c r="C111" t="s">
        <v>476</v>
      </c>
      <c r="D111">
        <v>45122</v>
      </c>
      <c r="E111" t="s">
        <v>34</v>
      </c>
      <c r="F111">
        <v>4553.4399999999996</v>
      </c>
      <c r="G111">
        <v>27062.560000000001</v>
      </c>
      <c r="H111" t="s">
        <v>125</v>
      </c>
      <c r="I111">
        <v>19</v>
      </c>
      <c r="J111" t="s">
        <v>42</v>
      </c>
      <c r="K111" t="s">
        <v>50</v>
      </c>
      <c r="L111" t="s">
        <v>477</v>
      </c>
      <c r="M111" t="s">
        <v>38</v>
      </c>
      <c r="N111" t="s">
        <v>44</v>
      </c>
      <c r="O111">
        <v>2.4</v>
      </c>
      <c r="R111">
        <v>514</v>
      </c>
      <c r="S111">
        <v>10776.87</v>
      </c>
      <c r="T111" t="s">
        <v>45</v>
      </c>
    </row>
    <row r="112" spans="1:20" x14ac:dyDescent="0.35">
      <c r="A112" t="s">
        <v>478</v>
      </c>
      <c r="B112" t="s">
        <v>479</v>
      </c>
      <c r="C112" t="s">
        <v>480</v>
      </c>
      <c r="D112">
        <v>45115</v>
      </c>
      <c r="E112" t="s">
        <v>23</v>
      </c>
      <c r="F112">
        <v>2262.59</v>
      </c>
      <c r="G112">
        <v>39682.18</v>
      </c>
      <c r="H112" t="s">
        <v>125</v>
      </c>
      <c r="I112">
        <v>53</v>
      </c>
      <c r="J112" t="s">
        <v>42</v>
      </c>
      <c r="K112" t="s">
        <v>36</v>
      </c>
      <c r="L112" t="s">
        <v>481</v>
      </c>
      <c r="M112" t="s">
        <v>38</v>
      </c>
      <c r="N112" t="s">
        <v>29</v>
      </c>
      <c r="O112">
        <v>3.51</v>
      </c>
      <c r="P112">
        <v>14530.97</v>
      </c>
      <c r="Q112">
        <v>29</v>
      </c>
      <c r="R112">
        <v>738</v>
      </c>
      <c r="S112">
        <v>4213.03</v>
      </c>
      <c r="T112" t="s">
        <v>45</v>
      </c>
    </row>
    <row r="113" spans="1:20" x14ac:dyDescent="0.35">
      <c r="A113" t="s">
        <v>482</v>
      </c>
      <c r="B113" t="s">
        <v>483</v>
      </c>
      <c r="C113" t="s">
        <v>484</v>
      </c>
      <c r="D113">
        <v>44760</v>
      </c>
      <c r="E113" t="s">
        <v>71</v>
      </c>
      <c r="F113">
        <v>1290.45</v>
      </c>
      <c r="G113">
        <v>15542.55</v>
      </c>
      <c r="H113" t="s">
        <v>24</v>
      </c>
      <c r="I113">
        <v>31</v>
      </c>
      <c r="J113" t="s">
        <v>25</v>
      </c>
      <c r="K113" t="s">
        <v>26</v>
      </c>
      <c r="L113" t="s">
        <v>485</v>
      </c>
      <c r="M113" t="s">
        <v>52</v>
      </c>
      <c r="N113" t="s">
        <v>62</v>
      </c>
      <c r="O113">
        <v>4.1399999999999997</v>
      </c>
      <c r="P113">
        <v>43299.99</v>
      </c>
      <c r="R113">
        <v>727</v>
      </c>
      <c r="S113">
        <v>4466.93</v>
      </c>
      <c r="T113" t="s">
        <v>30</v>
      </c>
    </row>
    <row r="114" spans="1:20" x14ac:dyDescent="0.35">
      <c r="A114" t="s">
        <v>486</v>
      </c>
      <c r="B114" t="s">
        <v>487</v>
      </c>
      <c r="C114" t="s">
        <v>488</v>
      </c>
      <c r="D114">
        <v>44820</v>
      </c>
      <c r="E114" t="s">
        <v>23</v>
      </c>
      <c r="F114">
        <v>776.58</v>
      </c>
      <c r="G114">
        <v>27527.11</v>
      </c>
      <c r="H114" t="s">
        <v>49</v>
      </c>
      <c r="I114">
        <v>33</v>
      </c>
      <c r="J114" t="s">
        <v>25</v>
      </c>
      <c r="K114" t="s">
        <v>36</v>
      </c>
      <c r="L114" t="s">
        <v>489</v>
      </c>
      <c r="M114" t="s">
        <v>38</v>
      </c>
      <c r="N114" t="s">
        <v>62</v>
      </c>
      <c r="O114">
        <v>3.59</v>
      </c>
      <c r="P114">
        <v>24233.200000000001</v>
      </c>
      <c r="Q114">
        <v>10</v>
      </c>
      <c r="R114">
        <v>695</v>
      </c>
      <c r="S114">
        <v>14044.51</v>
      </c>
      <c r="T114" t="s">
        <v>45</v>
      </c>
    </row>
    <row r="115" spans="1:20" x14ac:dyDescent="0.35">
      <c r="A115" t="s">
        <v>490</v>
      </c>
      <c r="B115" t="s">
        <v>491</v>
      </c>
      <c r="C115" t="s">
        <v>492</v>
      </c>
      <c r="D115">
        <v>44989</v>
      </c>
      <c r="E115" t="s">
        <v>34</v>
      </c>
      <c r="F115">
        <v>2706.83</v>
      </c>
      <c r="G115">
        <v>17916.27</v>
      </c>
      <c r="H115" t="s">
        <v>49</v>
      </c>
      <c r="I115">
        <v>36</v>
      </c>
      <c r="J115" t="s">
        <v>42</v>
      </c>
      <c r="K115" t="s">
        <v>50</v>
      </c>
      <c r="L115" t="s">
        <v>493</v>
      </c>
      <c r="M115" t="s">
        <v>38</v>
      </c>
      <c r="N115" t="s">
        <v>44</v>
      </c>
      <c r="O115">
        <v>3.99</v>
      </c>
      <c r="P115">
        <v>48288.99</v>
      </c>
      <c r="R115">
        <v>508</v>
      </c>
      <c r="S115">
        <v>2418.8000000000002</v>
      </c>
      <c r="T115" t="s">
        <v>63</v>
      </c>
    </row>
    <row r="116" spans="1:20" x14ac:dyDescent="0.35">
      <c r="A116" t="s">
        <v>494</v>
      </c>
      <c r="B116" t="s">
        <v>495</v>
      </c>
      <c r="C116" t="s">
        <v>496</v>
      </c>
      <c r="D116">
        <v>45127</v>
      </c>
      <c r="E116" t="s">
        <v>23</v>
      </c>
      <c r="F116">
        <v>556.62</v>
      </c>
      <c r="G116">
        <v>21295.85</v>
      </c>
      <c r="H116" t="s">
        <v>125</v>
      </c>
      <c r="I116">
        <v>51</v>
      </c>
      <c r="J116" t="s">
        <v>25</v>
      </c>
      <c r="K116" t="s">
        <v>36</v>
      </c>
      <c r="L116" t="s">
        <v>497</v>
      </c>
      <c r="M116" t="s">
        <v>28</v>
      </c>
      <c r="N116" t="s">
        <v>62</v>
      </c>
      <c r="O116">
        <v>4.62</v>
      </c>
      <c r="P116">
        <v>37530.550000000003</v>
      </c>
      <c r="Q116">
        <v>21</v>
      </c>
      <c r="R116">
        <v>800</v>
      </c>
      <c r="S116">
        <v>8012.95</v>
      </c>
      <c r="T116" t="s">
        <v>30</v>
      </c>
    </row>
    <row r="117" spans="1:20" x14ac:dyDescent="0.35">
      <c r="A117" t="s">
        <v>498</v>
      </c>
      <c r="B117" t="s">
        <v>499</v>
      </c>
      <c r="C117" t="s">
        <v>500</v>
      </c>
      <c r="D117">
        <v>44990</v>
      </c>
      <c r="E117" t="s">
        <v>56</v>
      </c>
      <c r="F117">
        <v>5714.99</v>
      </c>
      <c r="G117">
        <v>36888.28</v>
      </c>
      <c r="H117" t="s">
        <v>49</v>
      </c>
      <c r="I117">
        <v>61</v>
      </c>
      <c r="J117" t="s">
        <v>42</v>
      </c>
      <c r="K117" t="s">
        <v>26</v>
      </c>
      <c r="L117" t="s">
        <v>501</v>
      </c>
      <c r="M117" t="s">
        <v>28</v>
      </c>
      <c r="N117" t="s">
        <v>62</v>
      </c>
      <c r="O117">
        <v>4.45</v>
      </c>
      <c r="P117">
        <v>34005.339999999997</v>
      </c>
      <c r="Q117">
        <v>9</v>
      </c>
      <c r="R117">
        <v>762</v>
      </c>
      <c r="S117">
        <v>6075.18</v>
      </c>
      <c r="T117" t="s">
        <v>45</v>
      </c>
    </row>
    <row r="118" spans="1:20" x14ac:dyDescent="0.35">
      <c r="A118" t="s">
        <v>502</v>
      </c>
      <c r="B118" t="s">
        <v>503</v>
      </c>
      <c r="C118" t="s">
        <v>504</v>
      </c>
      <c r="D118">
        <v>45114</v>
      </c>
      <c r="E118" t="s">
        <v>71</v>
      </c>
      <c r="F118">
        <v>2909.9</v>
      </c>
      <c r="G118">
        <v>44201.46</v>
      </c>
      <c r="H118" t="s">
        <v>125</v>
      </c>
      <c r="I118">
        <v>63</v>
      </c>
      <c r="J118" t="s">
        <v>42</v>
      </c>
      <c r="K118" t="s">
        <v>26</v>
      </c>
      <c r="L118" t="s">
        <v>505</v>
      </c>
      <c r="M118" t="s">
        <v>38</v>
      </c>
      <c r="N118" t="s">
        <v>29</v>
      </c>
      <c r="O118">
        <v>3.7</v>
      </c>
      <c r="P118">
        <v>37775.879999999997</v>
      </c>
      <c r="Q118">
        <v>15</v>
      </c>
      <c r="R118">
        <v>526</v>
      </c>
      <c r="S118">
        <v>10646.01</v>
      </c>
      <c r="T118" t="s">
        <v>63</v>
      </c>
    </row>
    <row r="119" spans="1:20" x14ac:dyDescent="0.35">
      <c r="A119" t="s">
        <v>506</v>
      </c>
      <c r="B119" t="s">
        <v>507</v>
      </c>
      <c r="C119" t="s">
        <v>508</v>
      </c>
      <c r="D119">
        <v>44573</v>
      </c>
      <c r="E119" t="s">
        <v>34</v>
      </c>
      <c r="F119">
        <v>8262.89</v>
      </c>
      <c r="G119">
        <v>6953.27</v>
      </c>
      <c r="H119" t="s">
        <v>35</v>
      </c>
      <c r="I119">
        <v>23</v>
      </c>
      <c r="J119" t="s">
        <v>25</v>
      </c>
      <c r="K119" t="s">
        <v>26</v>
      </c>
      <c r="L119" t="s">
        <v>340</v>
      </c>
      <c r="M119" t="s">
        <v>38</v>
      </c>
      <c r="N119" t="s">
        <v>29</v>
      </c>
      <c r="O119">
        <v>1.86</v>
      </c>
      <c r="P119">
        <v>26514.37</v>
      </c>
      <c r="Q119">
        <v>28</v>
      </c>
      <c r="R119">
        <v>674</v>
      </c>
      <c r="S119">
        <v>12915.18</v>
      </c>
      <c r="T119" t="s">
        <v>63</v>
      </c>
    </row>
    <row r="120" spans="1:20" x14ac:dyDescent="0.35">
      <c r="A120" t="s">
        <v>509</v>
      </c>
      <c r="B120" t="s">
        <v>510</v>
      </c>
      <c r="C120" t="s">
        <v>511</v>
      </c>
      <c r="D120">
        <v>44730</v>
      </c>
      <c r="E120" t="s">
        <v>34</v>
      </c>
      <c r="F120">
        <v>834.98</v>
      </c>
      <c r="G120">
        <v>32097.32</v>
      </c>
      <c r="H120" t="s">
        <v>24</v>
      </c>
      <c r="I120">
        <v>30</v>
      </c>
      <c r="J120" t="s">
        <v>25</v>
      </c>
      <c r="K120" t="s">
        <v>50</v>
      </c>
      <c r="L120" t="s">
        <v>512</v>
      </c>
      <c r="M120" t="s">
        <v>52</v>
      </c>
      <c r="N120" t="s">
        <v>29</v>
      </c>
      <c r="O120">
        <v>3.55</v>
      </c>
      <c r="P120">
        <v>27735.19</v>
      </c>
      <c r="R120">
        <v>799</v>
      </c>
      <c r="S120">
        <v>6684.92</v>
      </c>
      <c r="T120" t="s">
        <v>30</v>
      </c>
    </row>
    <row r="121" spans="1:20" x14ac:dyDescent="0.35">
      <c r="A121" t="s">
        <v>513</v>
      </c>
      <c r="B121" t="s">
        <v>514</v>
      </c>
      <c r="C121" t="s">
        <v>515</v>
      </c>
      <c r="D121">
        <v>44814</v>
      </c>
      <c r="E121" t="s">
        <v>34</v>
      </c>
      <c r="F121">
        <v>2340.88</v>
      </c>
      <c r="G121">
        <v>29525.05</v>
      </c>
      <c r="H121" t="s">
        <v>100</v>
      </c>
      <c r="I121">
        <v>53</v>
      </c>
      <c r="J121" t="s">
        <v>25</v>
      </c>
      <c r="K121" t="s">
        <v>26</v>
      </c>
      <c r="L121" t="s">
        <v>516</v>
      </c>
      <c r="M121" t="s">
        <v>52</v>
      </c>
      <c r="N121" t="s">
        <v>44</v>
      </c>
      <c r="O121">
        <v>3.02</v>
      </c>
      <c r="R121">
        <v>392</v>
      </c>
      <c r="S121">
        <v>7549.73</v>
      </c>
      <c r="T121" t="s">
        <v>63</v>
      </c>
    </row>
    <row r="122" spans="1:20" x14ac:dyDescent="0.35">
      <c r="A122" t="s">
        <v>517</v>
      </c>
      <c r="B122" t="s">
        <v>518</v>
      </c>
      <c r="C122" t="s">
        <v>519</v>
      </c>
      <c r="D122">
        <v>44833</v>
      </c>
      <c r="E122" t="s">
        <v>71</v>
      </c>
      <c r="F122">
        <v>7329.44</v>
      </c>
      <c r="G122">
        <v>6802.34</v>
      </c>
      <c r="H122" t="s">
        <v>24</v>
      </c>
      <c r="I122">
        <v>39</v>
      </c>
      <c r="J122" t="s">
        <v>42</v>
      </c>
      <c r="K122" t="s">
        <v>50</v>
      </c>
      <c r="L122" t="s">
        <v>520</v>
      </c>
      <c r="M122" t="s">
        <v>38</v>
      </c>
      <c r="N122" t="s">
        <v>62</v>
      </c>
      <c r="O122">
        <v>3.87</v>
      </c>
      <c r="Q122">
        <v>28</v>
      </c>
      <c r="R122">
        <v>759</v>
      </c>
      <c r="S122">
        <v>14764.93</v>
      </c>
      <c r="T122" t="s">
        <v>45</v>
      </c>
    </row>
    <row r="123" spans="1:20" x14ac:dyDescent="0.35">
      <c r="A123" t="s">
        <v>521</v>
      </c>
      <c r="B123" t="s">
        <v>522</v>
      </c>
      <c r="C123" t="s">
        <v>523</v>
      </c>
      <c r="D123">
        <v>44927</v>
      </c>
      <c r="E123" t="s">
        <v>56</v>
      </c>
      <c r="F123">
        <v>6028.2</v>
      </c>
      <c r="G123">
        <v>11382.82</v>
      </c>
      <c r="H123" t="s">
        <v>125</v>
      </c>
      <c r="I123">
        <v>35</v>
      </c>
      <c r="J123" t="s">
        <v>42</v>
      </c>
      <c r="K123" t="s">
        <v>36</v>
      </c>
      <c r="L123" t="s">
        <v>524</v>
      </c>
      <c r="M123" t="s">
        <v>28</v>
      </c>
      <c r="N123" t="s">
        <v>44</v>
      </c>
      <c r="O123">
        <v>4.33</v>
      </c>
      <c r="R123">
        <v>620</v>
      </c>
      <c r="S123">
        <v>12190.91</v>
      </c>
      <c r="T123" t="s">
        <v>63</v>
      </c>
    </row>
    <row r="124" spans="1:20" x14ac:dyDescent="0.35">
      <c r="A124" t="s">
        <v>525</v>
      </c>
      <c r="B124" t="s">
        <v>526</v>
      </c>
      <c r="C124" t="s">
        <v>527</v>
      </c>
      <c r="D124">
        <v>45135</v>
      </c>
      <c r="E124" t="s">
        <v>34</v>
      </c>
      <c r="F124">
        <v>738.46</v>
      </c>
      <c r="G124">
        <v>16239.12</v>
      </c>
      <c r="H124" t="s">
        <v>125</v>
      </c>
      <c r="I124">
        <v>29</v>
      </c>
      <c r="J124" t="s">
        <v>25</v>
      </c>
      <c r="K124" t="s">
        <v>26</v>
      </c>
      <c r="L124" t="s">
        <v>528</v>
      </c>
      <c r="M124" t="s">
        <v>38</v>
      </c>
      <c r="N124" t="s">
        <v>62</v>
      </c>
      <c r="O124">
        <v>3.97</v>
      </c>
      <c r="Q124">
        <v>26</v>
      </c>
      <c r="R124">
        <v>309</v>
      </c>
      <c r="S124">
        <v>13663.65</v>
      </c>
      <c r="T124" t="s">
        <v>45</v>
      </c>
    </row>
    <row r="125" spans="1:20" x14ac:dyDescent="0.35">
      <c r="A125" t="s">
        <v>529</v>
      </c>
      <c r="B125" t="s">
        <v>530</v>
      </c>
      <c r="C125" t="s">
        <v>531</v>
      </c>
      <c r="D125">
        <v>44748</v>
      </c>
      <c r="E125" t="s">
        <v>23</v>
      </c>
      <c r="F125">
        <v>8784.67</v>
      </c>
      <c r="G125">
        <v>9179.6200000000008</v>
      </c>
      <c r="H125" t="s">
        <v>24</v>
      </c>
      <c r="I125">
        <v>69</v>
      </c>
      <c r="J125" t="s">
        <v>42</v>
      </c>
      <c r="K125" t="s">
        <v>26</v>
      </c>
      <c r="L125" t="s">
        <v>105</v>
      </c>
      <c r="M125" t="s">
        <v>52</v>
      </c>
      <c r="N125" t="s">
        <v>62</v>
      </c>
      <c r="O125">
        <v>4.3899999999999997</v>
      </c>
      <c r="R125">
        <v>602</v>
      </c>
      <c r="S125">
        <v>7703.91</v>
      </c>
      <c r="T125" t="s">
        <v>45</v>
      </c>
    </row>
    <row r="126" spans="1:20" x14ac:dyDescent="0.35">
      <c r="A126" t="s">
        <v>532</v>
      </c>
      <c r="B126" t="s">
        <v>533</v>
      </c>
      <c r="C126" t="s">
        <v>534</v>
      </c>
      <c r="D126">
        <v>44966</v>
      </c>
      <c r="E126" t="s">
        <v>34</v>
      </c>
      <c r="F126">
        <v>8784.89</v>
      </c>
      <c r="G126">
        <v>12942.74</v>
      </c>
      <c r="H126" t="s">
        <v>125</v>
      </c>
      <c r="I126">
        <v>47</v>
      </c>
      <c r="J126" t="s">
        <v>42</v>
      </c>
      <c r="K126" t="s">
        <v>26</v>
      </c>
      <c r="L126" t="s">
        <v>438</v>
      </c>
      <c r="M126" t="s">
        <v>28</v>
      </c>
      <c r="N126" t="s">
        <v>62</v>
      </c>
      <c r="O126">
        <v>1.26</v>
      </c>
      <c r="P126">
        <v>36509.660000000003</v>
      </c>
      <c r="Q126">
        <v>14</v>
      </c>
      <c r="R126">
        <v>621</v>
      </c>
      <c r="S126">
        <v>5042.99</v>
      </c>
      <c r="T126" t="s">
        <v>30</v>
      </c>
    </row>
    <row r="127" spans="1:20" x14ac:dyDescent="0.35">
      <c r="A127" t="s">
        <v>535</v>
      </c>
      <c r="B127" t="s">
        <v>536</v>
      </c>
      <c r="C127" t="s">
        <v>537</v>
      </c>
      <c r="D127">
        <v>45029</v>
      </c>
      <c r="E127" t="s">
        <v>34</v>
      </c>
      <c r="F127">
        <v>3371.04</v>
      </c>
      <c r="G127">
        <v>14112.44</v>
      </c>
      <c r="H127" t="s">
        <v>49</v>
      </c>
      <c r="I127">
        <v>68</v>
      </c>
      <c r="J127" t="s">
        <v>42</v>
      </c>
      <c r="K127" t="s">
        <v>36</v>
      </c>
      <c r="L127" t="s">
        <v>538</v>
      </c>
      <c r="M127" t="s">
        <v>28</v>
      </c>
      <c r="N127" t="s">
        <v>29</v>
      </c>
      <c r="O127">
        <v>1.1299999999999999</v>
      </c>
      <c r="P127">
        <v>27603.58</v>
      </c>
      <c r="R127">
        <v>755</v>
      </c>
      <c r="S127">
        <v>7354.23</v>
      </c>
      <c r="T127" t="s">
        <v>63</v>
      </c>
    </row>
    <row r="128" spans="1:20" x14ac:dyDescent="0.35">
      <c r="A128" t="s">
        <v>539</v>
      </c>
      <c r="B128" t="s">
        <v>540</v>
      </c>
      <c r="C128" t="s">
        <v>541</v>
      </c>
      <c r="D128">
        <v>44750</v>
      </c>
      <c r="E128" t="s">
        <v>34</v>
      </c>
      <c r="F128">
        <v>3470.02</v>
      </c>
      <c r="G128">
        <v>17448.02</v>
      </c>
      <c r="H128" t="s">
        <v>49</v>
      </c>
      <c r="I128">
        <v>57</v>
      </c>
      <c r="J128" t="s">
        <v>25</v>
      </c>
      <c r="K128" t="s">
        <v>26</v>
      </c>
      <c r="L128" t="s">
        <v>542</v>
      </c>
      <c r="M128" t="s">
        <v>52</v>
      </c>
      <c r="N128" t="s">
        <v>44</v>
      </c>
      <c r="O128">
        <v>2.0299999999999998</v>
      </c>
      <c r="R128">
        <v>577</v>
      </c>
      <c r="S128">
        <v>11309.19</v>
      </c>
      <c r="T128" t="s">
        <v>30</v>
      </c>
    </row>
    <row r="129" spans="1:20" x14ac:dyDescent="0.35">
      <c r="A129" t="s">
        <v>543</v>
      </c>
      <c r="B129" t="s">
        <v>544</v>
      </c>
      <c r="C129" t="s">
        <v>545</v>
      </c>
      <c r="D129">
        <v>44638</v>
      </c>
      <c r="E129" t="s">
        <v>34</v>
      </c>
      <c r="F129">
        <v>9891.3799999999992</v>
      </c>
      <c r="G129">
        <v>37720.129999999997</v>
      </c>
      <c r="H129" t="s">
        <v>125</v>
      </c>
      <c r="I129">
        <v>24</v>
      </c>
      <c r="J129" t="s">
        <v>42</v>
      </c>
      <c r="K129" t="s">
        <v>50</v>
      </c>
      <c r="L129" t="s">
        <v>546</v>
      </c>
      <c r="M129" t="s">
        <v>38</v>
      </c>
      <c r="N129" t="s">
        <v>44</v>
      </c>
      <c r="O129">
        <v>4.5999999999999996</v>
      </c>
      <c r="Q129">
        <v>26</v>
      </c>
      <c r="R129">
        <v>837</v>
      </c>
      <c r="S129">
        <v>3422.6</v>
      </c>
      <c r="T129" t="s">
        <v>30</v>
      </c>
    </row>
    <row r="130" spans="1:20" x14ac:dyDescent="0.35">
      <c r="A130" t="s">
        <v>547</v>
      </c>
      <c r="B130" t="s">
        <v>548</v>
      </c>
      <c r="C130" t="s">
        <v>549</v>
      </c>
      <c r="D130">
        <v>44830</v>
      </c>
      <c r="E130" t="s">
        <v>56</v>
      </c>
      <c r="F130">
        <v>6299.14</v>
      </c>
      <c r="G130">
        <v>29023.7</v>
      </c>
      <c r="H130" t="s">
        <v>125</v>
      </c>
      <c r="I130">
        <v>49</v>
      </c>
      <c r="J130" t="s">
        <v>25</v>
      </c>
      <c r="K130" t="s">
        <v>36</v>
      </c>
      <c r="L130" t="s">
        <v>550</v>
      </c>
      <c r="M130" t="s">
        <v>38</v>
      </c>
      <c r="N130" t="s">
        <v>62</v>
      </c>
      <c r="O130">
        <v>4.29</v>
      </c>
      <c r="P130">
        <v>18121</v>
      </c>
      <c r="Q130">
        <v>6</v>
      </c>
      <c r="R130">
        <v>692</v>
      </c>
      <c r="S130">
        <v>5516.1</v>
      </c>
      <c r="T130" t="s">
        <v>30</v>
      </c>
    </row>
    <row r="131" spans="1:20" x14ac:dyDescent="0.35">
      <c r="A131" t="s">
        <v>551</v>
      </c>
      <c r="B131" t="s">
        <v>552</v>
      </c>
      <c r="C131" t="s">
        <v>553</v>
      </c>
      <c r="D131">
        <v>45034</v>
      </c>
      <c r="E131" t="s">
        <v>23</v>
      </c>
      <c r="F131">
        <v>5360.03</v>
      </c>
      <c r="G131">
        <v>49326.09</v>
      </c>
      <c r="H131" t="s">
        <v>49</v>
      </c>
      <c r="I131">
        <v>65</v>
      </c>
      <c r="J131" t="s">
        <v>25</v>
      </c>
      <c r="K131" t="s">
        <v>36</v>
      </c>
      <c r="L131" t="s">
        <v>554</v>
      </c>
      <c r="M131" t="s">
        <v>38</v>
      </c>
      <c r="N131" t="s">
        <v>44</v>
      </c>
      <c r="O131">
        <v>3.73</v>
      </c>
      <c r="Q131">
        <v>19</v>
      </c>
      <c r="R131">
        <v>394</v>
      </c>
      <c r="S131">
        <v>2606.27</v>
      </c>
      <c r="T131" t="s">
        <v>45</v>
      </c>
    </row>
    <row r="132" spans="1:20" x14ac:dyDescent="0.35">
      <c r="A132" t="s">
        <v>555</v>
      </c>
      <c r="B132" t="s">
        <v>556</v>
      </c>
      <c r="C132" t="s">
        <v>557</v>
      </c>
      <c r="D132">
        <v>45122</v>
      </c>
      <c r="E132" t="s">
        <v>56</v>
      </c>
      <c r="F132">
        <v>8397.7099999999991</v>
      </c>
      <c r="G132">
        <v>21322.06</v>
      </c>
      <c r="H132" t="s">
        <v>125</v>
      </c>
      <c r="I132">
        <v>36</v>
      </c>
      <c r="J132" t="s">
        <v>42</v>
      </c>
      <c r="K132" t="s">
        <v>36</v>
      </c>
      <c r="L132" t="s">
        <v>558</v>
      </c>
      <c r="M132" t="s">
        <v>52</v>
      </c>
      <c r="N132" t="s">
        <v>29</v>
      </c>
      <c r="O132">
        <v>3.8</v>
      </c>
      <c r="P132">
        <v>15722.95</v>
      </c>
      <c r="Q132">
        <v>4</v>
      </c>
      <c r="R132">
        <v>406</v>
      </c>
      <c r="S132">
        <v>7620.52</v>
      </c>
      <c r="T132" t="s">
        <v>45</v>
      </c>
    </row>
    <row r="133" spans="1:20" x14ac:dyDescent="0.35">
      <c r="A133" t="s">
        <v>559</v>
      </c>
      <c r="B133" t="s">
        <v>560</v>
      </c>
      <c r="C133" t="s">
        <v>561</v>
      </c>
      <c r="D133">
        <v>44839</v>
      </c>
      <c r="E133" t="s">
        <v>23</v>
      </c>
      <c r="F133">
        <v>2924.37</v>
      </c>
      <c r="G133">
        <v>37939.39</v>
      </c>
      <c r="H133" t="s">
        <v>125</v>
      </c>
      <c r="I133">
        <v>23</v>
      </c>
      <c r="J133" t="s">
        <v>25</v>
      </c>
      <c r="K133" t="s">
        <v>36</v>
      </c>
      <c r="L133" t="s">
        <v>562</v>
      </c>
      <c r="M133" t="s">
        <v>28</v>
      </c>
      <c r="N133" t="s">
        <v>44</v>
      </c>
      <c r="O133">
        <v>3.91</v>
      </c>
      <c r="Q133">
        <v>20</v>
      </c>
      <c r="R133">
        <v>689</v>
      </c>
      <c r="S133">
        <v>12756.79</v>
      </c>
      <c r="T133" t="s">
        <v>45</v>
      </c>
    </row>
    <row r="134" spans="1:20" x14ac:dyDescent="0.35">
      <c r="A134" t="s">
        <v>563</v>
      </c>
      <c r="B134" t="s">
        <v>564</v>
      </c>
      <c r="C134" t="s">
        <v>565</v>
      </c>
      <c r="D134">
        <v>44869</v>
      </c>
      <c r="E134" t="s">
        <v>34</v>
      </c>
      <c r="F134">
        <v>4348.91</v>
      </c>
      <c r="G134">
        <v>43701.95</v>
      </c>
      <c r="H134" t="s">
        <v>24</v>
      </c>
      <c r="I134">
        <v>37</v>
      </c>
      <c r="J134" t="s">
        <v>42</v>
      </c>
      <c r="K134" t="s">
        <v>36</v>
      </c>
      <c r="L134" t="s">
        <v>566</v>
      </c>
      <c r="M134" t="s">
        <v>52</v>
      </c>
      <c r="N134" t="s">
        <v>62</v>
      </c>
      <c r="O134">
        <v>4.7699999999999996</v>
      </c>
      <c r="P134">
        <v>44058.400000000001</v>
      </c>
      <c r="R134">
        <v>825</v>
      </c>
      <c r="S134">
        <v>2320.63</v>
      </c>
      <c r="T134" t="s">
        <v>45</v>
      </c>
    </row>
    <row r="135" spans="1:20" x14ac:dyDescent="0.35">
      <c r="A135" t="s">
        <v>567</v>
      </c>
      <c r="B135" t="s">
        <v>568</v>
      </c>
      <c r="C135" t="s">
        <v>569</v>
      </c>
      <c r="D135">
        <v>45019</v>
      </c>
      <c r="E135" t="s">
        <v>71</v>
      </c>
      <c r="F135">
        <v>2750.99</v>
      </c>
      <c r="G135">
        <v>34269.949999999997</v>
      </c>
      <c r="H135" t="s">
        <v>100</v>
      </c>
      <c r="I135">
        <v>44</v>
      </c>
      <c r="J135" t="s">
        <v>25</v>
      </c>
      <c r="K135" t="s">
        <v>50</v>
      </c>
      <c r="L135" t="s">
        <v>570</v>
      </c>
      <c r="M135" t="s">
        <v>38</v>
      </c>
      <c r="N135" t="s">
        <v>29</v>
      </c>
      <c r="O135">
        <v>4.33</v>
      </c>
      <c r="Q135">
        <v>19</v>
      </c>
      <c r="R135">
        <v>370</v>
      </c>
      <c r="S135">
        <v>10779.21</v>
      </c>
      <c r="T135" t="s">
        <v>63</v>
      </c>
    </row>
    <row r="136" spans="1:20" x14ac:dyDescent="0.35">
      <c r="A136" t="s">
        <v>571</v>
      </c>
      <c r="B136" t="s">
        <v>572</v>
      </c>
      <c r="C136" t="s">
        <v>573</v>
      </c>
      <c r="D136">
        <v>44952</v>
      </c>
      <c r="E136" t="s">
        <v>56</v>
      </c>
      <c r="F136">
        <v>7912.69</v>
      </c>
      <c r="G136">
        <v>21181.37</v>
      </c>
      <c r="H136" t="s">
        <v>49</v>
      </c>
      <c r="I136">
        <v>60</v>
      </c>
      <c r="J136" t="s">
        <v>25</v>
      </c>
      <c r="K136" t="s">
        <v>36</v>
      </c>
      <c r="L136" t="s">
        <v>574</v>
      </c>
      <c r="M136" t="s">
        <v>52</v>
      </c>
      <c r="N136" t="s">
        <v>29</v>
      </c>
      <c r="O136">
        <v>3.49</v>
      </c>
      <c r="P136">
        <v>26284.14</v>
      </c>
      <c r="R136">
        <v>675</v>
      </c>
      <c r="S136">
        <v>14122.45</v>
      </c>
      <c r="T136" t="s">
        <v>63</v>
      </c>
    </row>
    <row r="137" spans="1:20" x14ac:dyDescent="0.35">
      <c r="A137" t="s">
        <v>575</v>
      </c>
      <c r="B137" t="s">
        <v>576</v>
      </c>
      <c r="C137" t="s">
        <v>577</v>
      </c>
      <c r="D137">
        <v>45101</v>
      </c>
      <c r="E137" t="s">
        <v>71</v>
      </c>
      <c r="F137">
        <v>5776.16</v>
      </c>
      <c r="G137">
        <v>37926.14</v>
      </c>
      <c r="H137" t="s">
        <v>24</v>
      </c>
      <c r="I137">
        <v>54</v>
      </c>
      <c r="J137" t="s">
        <v>42</v>
      </c>
      <c r="K137" t="s">
        <v>26</v>
      </c>
      <c r="L137" t="s">
        <v>578</v>
      </c>
      <c r="M137" t="s">
        <v>28</v>
      </c>
      <c r="N137" t="s">
        <v>62</v>
      </c>
      <c r="O137">
        <v>3.66</v>
      </c>
      <c r="Q137">
        <v>29</v>
      </c>
      <c r="R137">
        <v>667</v>
      </c>
      <c r="S137">
        <v>5080.0600000000004</v>
      </c>
      <c r="T137" t="s">
        <v>45</v>
      </c>
    </row>
    <row r="138" spans="1:20" x14ac:dyDescent="0.35">
      <c r="A138" t="s">
        <v>579</v>
      </c>
      <c r="B138" t="s">
        <v>580</v>
      </c>
      <c r="C138" t="s">
        <v>581</v>
      </c>
      <c r="D138">
        <v>44840</v>
      </c>
      <c r="E138" t="s">
        <v>56</v>
      </c>
      <c r="F138">
        <v>6622.37</v>
      </c>
      <c r="G138">
        <v>10979.69</v>
      </c>
      <c r="H138" t="s">
        <v>100</v>
      </c>
      <c r="I138">
        <v>65</v>
      </c>
      <c r="J138" t="s">
        <v>25</v>
      </c>
      <c r="K138" t="s">
        <v>36</v>
      </c>
      <c r="L138" t="s">
        <v>582</v>
      </c>
      <c r="M138" t="s">
        <v>52</v>
      </c>
      <c r="N138" t="s">
        <v>44</v>
      </c>
      <c r="O138">
        <v>1.85</v>
      </c>
      <c r="R138">
        <v>350</v>
      </c>
      <c r="S138">
        <v>11017.25</v>
      </c>
      <c r="T138" t="s">
        <v>45</v>
      </c>
    </row>
    <row r="139" spans="1:20" x14ac:dyDescent="0.35">
      <c r="A139" t="s">
        <v>583</v>
      </c>
      <c r="B139" t="s">
        <v>584</v>
      </c>
      <c r="C139" t="s">
        <v>585</v>
      </c>
      <c r="D139">
        <v>44914</v>
      </c>
      <c r="E139" t="s">
        <v>34</v>
      </c>
      <c r="F139">
        <v>2597.84</v>
      </c>
      <c r="G139">
        <v>17050.060000000001</v>
      </c>
      <c r="H139" t="s">
        <v>125</v>
      </c>
      <c r="I139">
        <v>24</v>
      </c>
      <c r="J139" t="s">
        <v>25</v>
      </c>
      <c r="K139" t="s">
        <v>36</v>
      </c>
      <c r="L139" t="s">
        <v>586</v>
      </c>
      <c r="M139" t="s">
        <v>38</v>
      </c>
      <c r="N139" t="s">
        <v>62</v>
      </c>
      <c r="O139">
        <v>3.63</v>
      </c>
      <c r="P139">
        <v>23708.04</v>
      </c>
      <c r="R139">
        <v>442</v>
      </c>
      <c r="S139">
        <v>14676.32</v>
      </c>
      <c r="T139" t="s">
        <v>63</v>
      </c>
    </row>
    <row r="140" spans="1:20" x14ac:dyDescent="0.35">
      <c r="A140" t="s">
        <v>587</v>
      </c>
      <c r="B140" t="s">
        <v>588</v>
      </c>
      <c r="C140" t="s">
        <v>589</v>
      </c>
      <c r="D140">
        <v>44572</v>
      </c>
      <c r="E140" t="s">
        <v>56</v>
      </c>
      <c r="F140">
        <v>2280.23</v>
      </c>
      <c r="G140">
        <v>27787.58</v>
      </c>
      <c r="H140" t="s">
        <v>125</v>
      </c>
      <c r="I140">
        <v>22</v>
      </c>
      <c r="J140" t="s">
        <v>25</v>
      </c>
      <c r="K140" t="s">
        <v>36</v>
      </c>
      <c r="L140" t="s">
        <v>590</v>
      </c>
      <c r="M140" t="s">
        <v>28</v>
      </c>
      <c r="N140" t="s">
        <v>44</v>
      </c>
      <c r="O140">
        <v>2.7</v>
      </c>
      <c r="P140">
        <v>22083.39</v>
      </c>
      <c r="Q140">
        <v>13</v>
      </c>
      <c r="R140">
        <v>718</v>
      </c>
      <c r="S140">
        <v>14509.61</v>
      </c>
      <c r="T140" t="s">
        <v>30</v>
      </c>
    </row>
    <row r="141" spans="1:20" x14ac:dyDescent="0.35">
      <c r="A141" t="s">
        <v>591</v>
      </c>
      <c r="B141" t="s">
        <v>592</v>
      </c>
      <c r="C141" t="s">
        <v>593</v>
      </c>
      <c r="D141">
        <v>44894</v>
      </c>
      <c r="E141" t="s">
        <v>34</v>
      </c>
      <c r="F141">
        <v>4934.91</v>
      </c>
      <c r="G141">
        <v>29195.06</v>
      </c>
      <c r="H141" t="s">
        <v>24</v>
      </c>
      <c r="I141">
        <v>28</v>
      </c>
      <c r="J141" t="s">
        <v>42</v>
      </c>
      <c r="K141" t="s">
        <v>36</v>
      </c>
      <c r="L141" t="s">
        <v>355</v>
      </c>
      <c r="M141" t="s">
        <v>52</v>
      </c>
      <c r="N141" t="s">
        <v>44</v>
      </c>
      <c r="O141">
        <v>1.61</v>
      </c>
      <c r="Q141">
        <v>9</v>
      </c>
      <c r="R141">
        <v>847</v>
      </c>
      <c r="S141">
        <v>5054.08</v>
      </c>
      <c r="T141" t="s">
        <v>30</v>
      </c>
    </row>
    <row r="142" spans="1:20" x14ac:dyDescent="0.35">
      <c r="A142" t="s">
        <v>594</v>
      </c>
      <c r="B142" t="s">
        <v>595</v>
      </c>
      <c r="C142" t="s">
        <v>596</v>
      </c>
      <c r="D142">
        <v>44989</v>
      </c>
      <c r="E142" t="s">
        <v>56</v>
      </c>
      <c r="F142">
        <v>7401.9</v>
      </c>
      <c r="G142">
        <v>2084.9299999999998</v>
      </c>
      <c r="H142" t="s">
        <v>125</v>
      </c>
      <c r="I142">
        <v>32</v>
      </c>
      <c r="J142" t="s">
        <v>42</v>
      </c>
      <c r="K142" t="s">
        <v>36</v>
      </c>
      <c r="L142" t="s">
        <v>597</v>
      </c>
      <c r="M142" t="s">
        <v>52</v>
      </c>
      <c r="N142" t="s">
        <v>29</v>
      </c>
      <c r="O142">
        <v>4.2300000000000004</v>
      </c>
      <c r="R142">
        <v>799</v>
      </c>
      <c r="S142">
        <v>3304.3</v>
      </c>
      <c r="T142" t="s">
        <v>45</v>
      </c>
    </row>
    <row r="143" spans="1:20" x14ac:dyDescent="0.35">
      <c r="A143" t="s">
        <v>598</v>
      </c>
      <c r="B143" t="s">
        <v>599</v>
      </c>
      <c r="C143" t="s">
        <v>600</v>
      </c>
      <c r="D143">
        <v>44938</v>
      </c>
      <c r="E143" t="s">
        <v>34</v>
      </c>
      <c r="F143">
        <v>5299.87</v>
      </c>
      <c r="G143">
        <v>47310.6</v>
      </c>
      <c r="H143" t="s">
        <v>35</v>
      </c>
      <c r="I143">
        <v>20</v>
      </c>
      <c r="J143" t="s">
        <v>25</v>
      </c>
      <c r="K143" t="s">
        <v>50</v>
      </c>
      <c r="L143" t="s">
        <v>601</v>
      </c>
      <c r="M143" t="s">
        <v>28</v>
      </c>
      <c r="N143" t="s">
        <v>62</v>
      </c>
      <c r="O143">
        <v>3.04</v>
      </c>
      <c r="P143">
        <v>34145.120000000003</v>
      </c>
      <c r="R143">
        <v>466</v>
      </c>
      <c r="S143">
        <v>3927.67</v>
      </c>
      <c r="T143" t="s">
        <v>30</v>
      </c>
    </row>
    <row r="144" spans="1:20" x14ac:dyDescent="0.35">
      <c r="A144" t="s">
        <v>602</v>
      </c>
      <c r="B144" t="s">
        <v>603</v>
      </c>
      <c r="C144" t="s">
        <v>604</v>
      </c>
      <c r="D144">
        <v>45053</v>
      </c>
      <c r="E144" t="s">
        <v>34</v>
      </c>
      <c r="F144">
        <v>423.19</v>
      </c>
      <c r="G144">
        <v>35134.74</v>
      </c>
      <c r="H144" t="s">
        <v>24</v>
      </c>
      <c r="I144">
        <v>22</v>
      </c>
      <c r="J144" t="s">
        <v>25</v>
      </c>
      <c r="K144" t="s">
        <v>50</v>
      </c>
      <c r="L144" t="s">
        <v>605</v>
      </c>
      <c r="M144" t="s">
        <v>28</v>
      </c>
      <c r="N144" t="s">
        <v>29</v>
      </c>
      <c r="O144">
        <v>4.91</v>
      </c>
      <c r="P144">
        <v>25328.38</v>
      </c>
      <c r="Q144">
        <v>25</v>
      </c>
      <c r="R144">
        <v>559</v>
      </c>
      <c r="S144">
        <v>11126.46</v>
      </c>
      <c r="T144" t="s">
        <v>45</v>
      </c>
    </row>
    <row r="145" spans="1:20" x14ac:dyDescent="0.35">
      <c r="A145" t="s">
        <v>606</v>
      </c>
      <c r="B145" t="s">
        <v>607</v>
      </c>
      <c r="C145" t="s">
        <v>608</v>
      </c>
      <c r="D145">
        <v>44979</v>
      </c>
      <c r="E145" t="s">
        <v>23</v>
      </c>
      <c r="F145">
        <v>8698.66</v>
      </c>
      <c r="G145">
        <v>25289.48</v>
      </c>
      <c r="H145" t="s">
        <v>100</v>
      </c>
      <c r="I145">
        <v>40</v>
      </c>
      <c r="J145" t="s">
        <v>25</v>
      </c>
      <c r="K145" t="s">
        <v>36</v>
      </c>
      <c r="L145" t="s">
        <v>609</v>
      </c>
      <c r="M145" t="s">
        <v>38</v>
      </c>
      <c r="N145" t="s">
        <v>62</v>
      </c>
      <c r="O145">
        <v>2.13</v>
      </c>
      <c r="P145">
        <v>48591.12</v>
      </c>
      <c r="R145">
        <v>491</v>
      </c>
      <c r="S145">
        <v>11434.87</v>
      </c>
      <c r="T145" t="s">
        <v>45</v>
      </c>
    </row>
    <row r="146" spans="1:20" x14ac:dyDescent="0.35">
      <c r="A146" t="s">
        <v>610</v>
      </c>
      <c r="B146" t="s">
        <v>611</v>
      </c>
      <c r="C146" t="s">
        <v>612</v>
      </c>
      <c r="D146">
        <v>45120</v>
      </c>
      <c r="E146" t="s">
        <v>34</v>
      </c>
      <c r="F146">
        <v>740.4</v>
      </c>
      <c r="G146">
        <v>46723.23</v>
      </c>
      <c r="H146" t="s">
        <v>24</v>
      </c>
      <c r="I146">
        <v>54</v>
      </c>
      <c r="J146" t="s">
        <v>42</v>
      </c>
      <c r="K146" t="s">
        <v>50</v>
      </c>
      <c r="L146" t="s">
        <v>92</v>
      </c>
      <c r="M146" t="s">
        <v>28</v>
      </c>
      <c r="N146" t="s">
        <v>62</v>
      </c>
      <c r="O146">
        <v>2.92</v>
      </c>
      <c r="R146">
        <v>501</v>
      </c>
      <c r="S146">
        <v>10765.08</v>
      </c>
      <c r="T146" t="s">
        <v>45</v>
      </c>
    </row>
    <row r="147" spans="1:20" x14ac:dyDescent="0.35">
      <c r="A147" t="s">
        <v>613</v>
      </c>
      <c r="B147" t="s">
        <v>614</v>
      </c>
      <c r="C147" t="s">
        <v>615</v>
      </c>
      <c r="D147">
        <v>45083</v>
      </c>
      <c r="E147" t="s">
        <v>23</v>
      </c>
      <c r="F147">
        <v>9562.66</v>
      </c>
      <c r="G147">
        <v>22515.68</v>
      </c>
      <c r="H147" t="s">
        <v>49</v>
      </c>
      <c r="I147">
        <v>26</v>
      </c>
      <c r="J147" t="s">
        <v>42</v>
      </c>
      <c r="K147" t="s">
        <v>26</v>
      </c>
      <c r="L147" t="s">
        <v>616</v>
      </c>
      <c r="M147" t="s">
        <v>38</v>
      </c>
      <c r="N147" t="s">
        <v>29</v>
      </c>
      <c r="O147">
        <v>2.79</v>
      </c>
      <c r="R147">
        <v>484</v>
      </c>
      <c r="S147">
        <v>6369.02</v>
      </c>
      <c r="T147" t="s">
        <v>63</v>
      </c>
    </row>
    <row r="148" spans="1:20" x14ac:dyDescent="0.35">
      <c r="A148" t="s">
        <v>617</v>
      </c>
      <c r="B148" t="s">
        <v>618</v>
      </c>
      <c r="C148" t="s">
        <v>619</v>
      </c>
      <c r="D148">
        <v>44721</v>
      </c>
      <c r="E148" t="s">
        <v>34</v>
      </c>
      <c r="F148">
        <v>348.91</v>
      </c>
      <c r="G148">
        <v>49041.34</v>
      </c>
      <c r="H148" t="s">
        <v>24</v>
      </c>
      <c r="I148">
        <v>32</v>
      </c>
      <c r="J148" t="s">
        <v>25</v>
      </c>
      <c r="K148" t="s">
        <v>36</v>
      </c>
      <c r="L148" t="s">
        <v>620</v>
      </c>
      <c r="M148" t="s">
        <v>52</v>
      </c>
      <c r="N148" t="s">
        <v>62</v>
      </c>
      <c r="O148">
        <v>1.48</v>
      </c>
      <c r="P148">
        <v>23858.36</v>
      </c>
      <c r="R148">
        <v>457</v>
      </c>
      <c r="S148">
        <v>4207.1000000000004</v>
      </c>
      <c r="T148" t="s">
        <v>30</v>
      </c>
    </row>
    <row r="149" spans="1:20" x14ac:dyDescent="0.35">
      <c r="A149" t="s">
        <v>621</v>
      </c>
      <c r="B149" t="s">
        <v>622</v>
      </c>
      <c r="C149" t="s">
        <v>623</v>
      </c>
      <c r="D149">
        <v>45041</v>
      </c>
      <c r="E149" t="s">
        <v>71</v>
      </c>
      <c r="F149">
        <v>6975.06</v>
      </c>
      <c r="G149">
        <v>26101.95</v>
      </c>
      <c r="H149" t="s">
        <v>125</v>
      </c>
      <c r="I149">
        <v>20</v>
      </c>
      <c r="J149" t="s">
        <v>42</v>
      </c>
      <c r="K149" t="s">
        <v>26</v>
      </c>
      <c r="L149" t="s">
        <v>37</v>
      </c>
      <c r="M149" t="s">
        <v>38</v>
      </c>
      <c r="N149" t="s">
        <v>62</v>
      </c>
      <c r="O149">
        <v>2.7</v>
      </c>
      <c r="R149">
        <v>398</v>
      </c>
      <c r="S149">
        <v>9549.89</v>
      </c>
      <c r="T149" t="s">
        <v>63</v>
      </c>
    </row>
    <row r="150" spans="1:20" x14ac:dyDescent="0.35">
      <c r="A150" t="s">
        <v>624</v>
      </c>
      <c r="B150" t="s">
        <v>625</v>
      </c>
      <c r="C150" t="s">
        <v>626</v>
      </c>
      <c r="D150">
        <v>44996</v>
      </c>
      <c r="E150" t="s">
        <v>34</v>
      </c>
      <c r="F150">
        <v>913.85</v>
      </c>
      <c r="G150">
        <v>6600</v>
      </c>
      <c r="H150" t="s">
        <v>125</v>
      </c>
      <c r="I150">
        <v>46</v>
      </c>
      <c r="J150" t="s">
        <v>42</v>
      </c>
      <c r="K150" t="s">
        <v>26</v>
      </c>
      <c r="L150" t="s">
        <v>300</v>
      </c>
      <c r="M150" t="s">
        <v>52</v>
      </c>
      <c r="N150" t="s">
        <v>44</v>
      </c>
      <c r="O150">
        <v>2.15</v>
      </c>
      <c r="R150">
        <v>540</v>
      </c>
      <c r="S150">
        <v>8287.85</v>
      </c>
      <c r="T150" t="s">
        <v>30</v>
      </c>
    </row>
    <row r="151" spans="1:20" x14ac:dyDescent="0.35">
      <c r="A151" t="s">
        <v>627</v>
      </c>
      <c r="B151" t="s">
        <v>628</v>
      </c>
      <c r="C151" t="s">
        <v>629</v>
      </c>
      <c r="D151">
        <v>44784</v>
      </c>
      <c r="E151" t="s">
        <v>71</v>
      </c>
      <c r="F151">
        <v>9115.7000000000007</v>
      </c>
      <c r="G151">
        <v>38475.25</v>
      </c>
      <c r="H151" t="s">
        <v>35</v>
      </c>
      <c r="I151">
        <v>23</v>
      </c>
      <c r="J151" t="s">
        <v>42</v>
      </c>
      <c r="K151" t="s">
        <v>36</v>
      </c>
      <c r="L151" t="s">
        <v>630</v>
      </c>
      <c r="M151" t="s">
        <v>28</v>
      </c>
      <c r="N151" t="s">
        <v>62</v>
      </c>
      <c r="O151">
        <v>1.64</v>
      </c>
      <c r="P151">
        <v>17316.95</v>
      </c>
      <c r="Q151">
        <v>23</v>
      </c>
      <c r="R151">
        <v>790</v>
      </c>
      <c r="S151">
        <v>11474.84</v>
      </c>
      <c r="T151" t="s">
        <v>63</v>
      </c>
    </row>
    <row r="152" spans="1:20" x14ac:dyDescent="0.35">
      <c r="A152" t="s">
        <v>631</v>
      </c>
      <c r="B152" t="s">
        <v>632</v>
      </c>
      <c r="C152" t="s">
        <v>633</v>
      </c>
      <c r="D152">
        <v>45108</v>
      </c>
      <c r="E152" t="s">
        <v>71</v>
      </c>
      <c r="F152">
        <v>4697.8900000000003</v>
      </c>
      <c r="G152">
        <v>34265.99</v>
      </c>
      <c r="H152" t="s">
        <v>35</v>
      </c>
      <c r="I152">
        <v>34</v>
      </c>
      <c r="J152" t="s">
        <v>42</v>
      </c>
      <c r="K152" t="s">
        <v>26</v>
      </c>
      <c r="L152" t="s">
        <v>634</v>
      </c>
      <c r="M152" t="s">
        <v>52</v>
      </c>
      <c r="N152" t="s">
        <v>62</v>
      </c>
      <c r="O152">
        <v>2.13</v>
      </c>
      <c r="Q152">
        <v>27</v>
      </c>
      <c r="R152">
        <v>501</v>
      </c>
      <c r="S152">
        <v>7737.68</v>
      </c>
      <c r="T152" t="s">
        <v>63</v>
      </c>
    </row>
    <row r="153" spans="1:20" x14ac:dyDescent="0.35">
      <c r="A153" t="s">
        <v>635</v>
      </c>
      <c r="B153" t="s">
        <v>636</v>
      </c>
      <c r="C153" t="s">
        <v>637</v>
      </c>
      <c r="D153">
        <v>44979</v>
      </c>
      <c r="E153" t="s">
        <v>34</v>
      </c>
      <c r="F153">
        <v>1461.49</v>
      </c>
      <c r="G153">
        <v>38876.35</v>
      </c>
      <c r="H153" t="s">
        <v>35</v>
      </c>
      <c r="I153">
        <v>43</v>
      </c>
      <c r="J153" t="s">
        <v>25</v>
      </c>
      <c r="K153" t="s">
        <v>26</v>
      </c>
      <c r="L153" t="s">
        <v>601</v>
      </c>
      <c r="M153" t="s">
        <v>28</v>
      </c>
      <c r="N153" t="s">
        <v>29</v>
      </c>
      <c r="O153">
        <v>1.93</v>
      </c>
      <c r="P153">
        <v>20138.47</v>
      </c>
      <c r="Q153">
        <v>17</v>
      </c>
      <c r="R153">
        <v>808</v>
      </c>
      <c r="S153">
        <v>6402.32</v>
      </c>
      <c r="T153" t="s">
        <v>45</v>
      </c>
    </row>
    <row r="154" spans="1:20" x14ac:dyDescent="0.35">
      <c r="A154" t="s">
        <v>638</v>
      </c>
      <c r="B154" t="s">
        <v>639</v>
      </c>
      <c r="C154" t="s">
        <v>640</v>
      </c>
      <c r="D154">
        <v>44749</v>
      </c>
      <c r="E154" t="s">
        <v>71</v>
      </c>
      <c r="F154">
        <v>3474.08</v>
      </c>
      <c r="G154">
        <v>47620.66</v>
      </c>
      <c r="H154" t="s">
        <v>100</v>
      </c>
      <c r="I154">
        <v>38</v>
      </c>
      <c r="J154" t="s">
        <v>42</v>
      </c>
      <c r="K154" t="s">
        <v>26</v>
      </c>
      <c r="L154" t="s">
        <v>641</v>
      </c>
      <c r="M154" t="s">
        <v>52</v>
      </c>
      <c r="N154" t="s">
        <v>29</v>
      </c>
      <c r="O154">
        <v>3.94</v>
      </c>
      <c r="P154">
        <v>37678.199999999997</v>
      </c>
      <c r="Q154">
        <v>3</v>
      </c>
      <c r="R154">
        <v>395</v>
      </c>
      <c r="S154">
        <v>5815.22</v>
      </c>
      <c r="T154" t="s">
        <v>45</v>
      </c>
    </row>
    <row r="155" spans="1:20" x14ac:dyDescent="0.35">
      <c r="A155" t="s">
        <v>642</v>
      </c>
      <c r="B155" t="s">
        <v>643</v>
      </c>
      <c r="C155" t="s">
        <v>644</v>
      </c>
      <c r="D155">
        <v>44730</v>
      </c>
      <c r="E155" t="s">
        <v>23</v>
      </c>
      <c r="F155">
        <v>1731.76</v>
      </c>
      <c r="G155">
        <v>39047.980000000003</v>
      </c>
      <c r="H155" t="s">
        <v>35</v>
      </c>
      <c r="I155">
        <v>25</v>
      </c>
      <c r="J155" t="s">
        <v>42</v>
      </c>
      <c r="K155" t="s">
        <v>36</v>
      </c>
      <c r="L155" t="s">
        <v>645</v>
      </c>
      <c r="M155" t="s">
        <v>52</v>
      </c>
      <c r="N155" t="s">
        <v>62</v>
      </c>
      <c r="O155">
        <v>1.1200000000000001</v>
      </c>
      <c r="R155">
        <v>789</v>
      </c>
      <c r="S155">
        <v>4749.1099999999997</v>
      </c>
      <c r="T155" t="s">
        <v>63</v>
      </c>
    </row>
    <row r="156" spans="1:20" x14ac:dyDescent="0.35">
      <c r="A156" t="s">
        <v>646</v>
      </c>
      <c r="B156" t="s">
        <v>647</v>
      </c>
      <c r="C156" t="s">
        <v>648</v>
      </c>
      <c r="D156">
        <v>44654</v>
      </c>
      <c r="E156" t="s">
        <v>56</v>
      </c>
      <c r="F156">
        <v>1788.76</v>
      </c>
      <c r="G156">
        <v>30955.49</v>
      </c>
      <c r="H156" t="s">
        <v>100</v>
      </c>
      <c r="I156">
        <v>38</v>
      </c>
      <c r="J156" t="s">
        <v>25</v>
      </c>
      <c r="K156" t="s">
        <v>36</v>
      </c>
      <c r="L156" t="s">
        <v>649</v>
      </c>
      <c r="M156" t="s">
        <v>52</v>
      </c>
      <c r="N156" t="s">
        <v>44</v>
      </c>
      <c r="O156">
        <v>3.47</v>
      </c>
      <c r="Q156">
        <v>8</v>
      </c>
      <c r="R156">
        <v>517</v>
      </c>
      <c r="S156">
        <v>5454.7</v>
      </c>
      <c r="T156" t="s">
        <v>30</v>
      </c>
    </row>
    <row r="157" spans="1:20" x14ac:dyDescent="0.35">
      <c r="A157" t="s">
        <v>650</v>
      </c>
      <c r="B157" t="s">
        <v>651</v>
      </c>
      <c r="C157" t="s">
        <v>652</v>
      </c>
      <c r="D157">
        <v>45082</v>
      </c>
      <c r="E157" t="s">
        <v>34</v>
      </c>
      <c r="F157">
        <v>9486.27</v>
      </c>
      <c r="G157">
        <v>43008.14</v>
      </c>
      <c r="H157" t="s">
        <v>35</v>
      </c>
      <c r="I157">
        <v>28</v>
      </c>
      <c r="J157" t="s">
        <v>25</v>
      </c>
      <c r="K157" t="s">
        <v>26</v>
      </c>
      <c r="L157" t="s">
        <v>590</v>
      </c>
      <c r="M157" t="s">
        <v>52</v>
      </c>
      <c r="N157" t="s">
        <v>44</v>
      </c>
      <c r="O157">
        <v>4.04</v>
      </c>
      <c r="P157">
        <v>38752.76</v>
      </c>
      <c r="R157">
        <v>826</v>
      </c>
      <c r="S157">
        <v>3232.8</v>
      </c>
      <c r="T157" t="s">
        <v>30</v>
      </c>
    </row>
    <row r="158" spans="1:20" x14ac:dyDescent="0.35">
      <c r="A158" t="s">
        <v>653</v>
      </c>
      <c r="B158" t="s">
        <v>654</v>
      </c>
      <c r="C158" t="s">
        <v>655</v>
      </c>
      <c r="D158">
        <v>44842</v>
      </c>
      <c r="E158" t="s">
        <v>71</v>
      </c>
      <c r="F158">
        <v>4507.9399999999996</v>
      </c>
      <c r="G158">
        <v>33989.08</v>
      </c>
      <c r="H158" t="s">
        <v>100</v>
      </c>
      <c r="I158">
        <v>55</v>
      </c>
      <c r="J158" t="s">
        <v>42</v>
      </c>
      <c r="K158" t="s">
        <v>36</v>
      </c>
      <c r="L158" t="s">
        <v>656</v>
      </c>
      <c r="M158" t="s">
        <v>38</v>
      </c>
      <c r="N158" t="s">
        <v>29</v>
      </c>
      <c r="O158">
        <v>2.92</v>
      </c>
      <c r="P158">
        <v>9465.2999999999993</v>
      </c>
      <c r="R158">
        <v>572</v>
      </c>
      <c r="S158">
        <v>6509.14</v>
      </c>
      <c r="T158" t="s">
        <v>45</v>
      </c>
    </row>
    <row r="159" spans="1:20" x14ac:dyDescent="0.35">
      <c r="A159" t="s">
        <v>657</v>
      </c>
      <c r="B159" t="s">
        <v>658</v>
      </c>
      <c r="C159" t="s">
        <v>659</v>
      </c>
      <c r="D159">
        <v>44882</v>
      </c>
      <c r="E159" t="s">
        <v>34</v>
      </c>
      <c r="F159">
        <v>7909.14</v>
      </c>
      <c r="G159">
        <v>20997.83</v>
      </c>
      <c r="H159" t="s">
        <v>24</v>
      </c>
      <c r="I159">
        <v>25</v>
      </c>
      <c r="J159" t="s">
        <v>42</v>
      </c>
      <c r="K159" t="s">
        <v>36</v>
      </c>
      <c r="L159" t="s">
        <v>660</v>
      </c>
      <c r="M159" t="s">
        <v>52</v>
      </c>
      <c r="N159" t="s">
        <v>62</v>
      </c>
      <c r="O159">
        <v>4.7300000000000004</v>
      </c>
      <c r="P159">
        <v>42757.21</v>
      </c>
      <c r="Q159">
        <v>2</v>
      </c>
      <c r="R159">
        <v>518</v>
      </c>
      <c r="S159">
        <v>2475.41</v>
      </c>
      <c r="T159" t="s">
        <v>45</v>
      </c>
    </row>
    <row r="160" spans="1:20" x14ac:dyDescent="0.35">
      <c r="A160" t="s">
        <v>661</v>
      </c>
      <c r="B160" t="s">
        <v>662</v>
      </c>
      <c r="C160" t="s">
        <v>663</v>
      </c>
      <c r="D160">
        <v>44844</v>
      </c>
      <c r="E160" t="s">
        <v>23</v>
      </c>
      <c r="F160">
        <v>6432.1</v>
      </c>
      <c r="G160">
        <v>44395.37</v>
      </c>
      <c r="H160" t="s">
        <v>24</v>
      </c>
      <c r="I160">
        <v>59</v>
      </c>
      <c r="J160" t="s">
        <v>25</v>
      </c>
      <c r="K160" t="s">
        <v>26</v>
      </c>
      <c r="L160" t="s">
        <v>664</v>
      </c>
      <c r="M160" t="s">
        <v>38</v>
      </c>
      <c r="N160" t="s">
        <v>62</v>
      </c>
      <c r="O160">
        <v>3.83</v>
      </c>
      <c r="Q160">
        <v>2</v>
      </c>
      <c r="R160">
        <v>631</v>
      </c>
      <c r="S160">
        <v>4423.38</v>
      </c>
      <c r="T160" t="s">
        <v>30</v>
      </c>
    </row>
    <row r="161" spans="1:20" x14ac:dyDescent="0.35">
      <c r="A161" t="s">
        <v>665</v>
      </c>
      <c r="B161" t="s">
        <v>666</v>
      </c>
      <c r="C161" t="s">
        <v>667</v>
      </c>
      <c r="D161">
        <v>44806</v>
      </c>
      <c r="E161" t="s">
        <v>34</v>
      </c>
      <c r="F161">
        <v>6796.62</v>
      </c>
      <c r="G161">
        <v>11873.12</v>
      </c>
      <c r="H161" t="s">
        <v>125</v>
      </c>
      <c r="I161">
        <v>41</v>
      </c>
      <c r="J161" t="s">
        <v>25</v>
      </c>
      <c r="K161" t="s">
        <v>36</v>
      </c>
      <c r="L161" t="s">
        <v>668</v>
      </c>
      <c r="M161" t="s">
        <v>28</v>
      </c>
      <c r="N161" t="s">
        <v>44</v>
      </c>
      <c r="O161">
        <v>3.99</v>
      </c>
      <c r="P161">
        <v>19510.04</v>
      </c>
      <c r="R161">
        <v>752</v>
      </c>
      <c r="S161">
        <v>11708.02</v>
      </c>
      <c r="T161" t="s">
        <v>30</v>
      </c>
    </row>
    <row r="162" spans="1:20" x14ac:dyDescent="0.35">
      <c r="A162" t="s">
        <v>669</v>
      </c>
      <c r="B162" t="s">
        <v>670</v>
      </c>
      <c r="C162" t="s">
        <v>671</v>
      </c>
      <c r="D162">
        <v>44645</v>
      </c>
      <c r="E162" t="s">
        <v>34</v>
      </c>
      <c r="F162">
        <v>1403.77</v>
      </c>
      <c r="G162">
        <v>36017.42</v>
      </c>
      <c r="H162" t="s">
        <v>100</v>
      </c>
      <c r="I162">
        <v>52</v>
      </c>
      <c r="J162" t="s">
        <v>25</v>
      </c>
      <c r="K162" t="s">
        <v>50</v>
      </c>
      <c r="L162" t="s">
        <v>355</v>
      </c>
      <c r="M162" t="s">
        <v>28</v>
      </c>
      <c r="N162" t="s">
        <v>44</v>
      </c>
      <c r="O162">
        <v>1.79</v>
      </c>
      <c r="P162">
        <v>46676.42</v>
      </c>
      <c r="Q162">
        <v>9</v>
      </c>
      <c r="R162">
        <v>451</v>
      </c>
      <c r="S162">
        <v>6231.1</v>
      </c>
      <c r="T162" t="s">
        <v>30</v>
      </c>
    </row>
    <row r="163" spans="1:20" x14ac:dyDescent="0.35">
      <c r="A163" t="s">
        <v>672</v>
      </c>
      <c r="B163" t="s">
        <v>673</v>
      </c>
      <c r="C163" t="s">
        <v>674</v>
      </c>
      <c r="D163">
        <v>44762</v>
      </c>
      <c r="E163" t="s">
        <v>71</v>
      </c>
      <c r="F163">
        <v>2418.4299999999998</v>
      </c>
      <c r="G163">
        <v>44196.61</v>
      </c>
      <c r="H163" t="s">
        <v>49</v>
      </c>
      <c r="I163">
        <v>31</v>
      </c>
      <c r="J163" t="s">
        <v>42</v>
      </c>
      <c r="K163" t="s">
        <v>36</v>
      </c>
      <c r="L163" t="s">
        <v>675</v>
      </c>
      <c r="M163" t="s">
        <v>38</v>
      </c>
      <c r="N163" t="s">
        <v>44</v>
      </c>
      <c r="O163">
        <v>4.1100000000000003</v>
      </c>
      <c r="P163">
        <v>40685.370000000003</v>
      </c>
      <c r="Q163">
        <v>20</v>
      </c>
      <c r="R163">
        <v>646</v>
      </c>
      <c r="S163">
        <v>10687.08</v>
      </c>
      <c r="T163" t="s">
        <v>45</v>
      </c>
    </row>
    <row r="164" spans="1:20" x14ac:dyDescent="0.35">
      <c r="A164" t="s">
        <v>676</v>
      </c>
      <c r="B164" t="s">
        <v>677</v>
      </c>
      <c r="C164" t="s">
        <v>678</v>
      </c>
      <c r="D164">
        <v>45055</v>
      </c>
      <c r="E164" t="s">
        <v>23</v>
      </c>
      <c r="F164">
        <v>7888.83</v>
      </c>
      <c r="G164">
        <v>36834.51</v>
      </c>
      <c r="H164" t="s">
        <v>125</v>
      </c>
      <c r="I164">
        <v>31</v>
      </c>
      <c r="J164" t="s">
        <v>42</v>
      </c>
      <c r="K164" t="s">
        <v>50</v>
      </c>
      <c r="L164" t="s">
        <v>316</v>
      </c>
      <c r="M164" t="s">
        <v>28</v>
      </c>
      <c r="N164" t="s">
        <v>29</v>
      </c>
      <c r="O164">
        <v>4.33</v>
      </c>
      <c r="P164">
        <v>46509.599999999999</v>
      </c>
      <c r="R164">
        <v>713</v>
      </c>
      <c r="S164">
        <v>11319.49</v>
      </c>
      <c r="T164" t="s">
        <v>30</v>
      </c>
    </row>
    <row r="165" spans="1:20" x14ac:dyDescent="0.35">
      <c r="A165" t="s">
        <v>679</v>
      </c>
      <c r="B165" t="s">
        <v>680</v>
      </c>
      <c r="C165" t="s">
        <v>681</v>
      </c>
      <c r="D165">
        <v>44909</v>
      </c>
      <c r="E165" t="s">
        <v>56</v>
      </c>
      <c r="F165">
        <v>9710.59</v>
      </c>
      <c r="G165">
        <v>35166.5</v>
      </c>
      <c r="H165" t="s">
        <v>24</v>
      </c>
      <c r="I165">
        <v>27</v>
      </c>
      <c r="J165" t="s">
        <v>25</v>
      </c>
      <c r="K165" t="s">
        <v>26</v>
      </c>
      <c r="L165" t="s">
        <v>682</v>
      </c>
      <c r="M165" t="s">
        <v>28</v>
      </c>
      <c r="N165" t="s">
        <v>62</v>
      </c>
      <c r="O165">
        <v>2.4500000000000002</v>
      </c>
      <c r="R165">
        <v>826</v>
      </c>
      <c r="S165">
        <v>9555.41</v>
      </c>
      <c r="T165" t="s">
        <v>45</v>
      </c>
    </row>
    <row r="166" spans="1:20" x14ac:dyDescent="0.35">
      <c r="A166" t="s">
        <v>683</v>
      </c>
      <c r="B166" t="s">
        <v>684</v>
      </c>
      <c r="C166" t="s">
        <v>685</v>
      </c>
      <c r="D166">
        <v>44985</v>
      </c>
      <c r="E166" t="s">
        <v>56</v>
      </c>
      <c r="F166">
        <v>2700.49</v>
      </c>
      <c r="G166">
        <v>37879.279999999999</v>
      </c>
      <c r="H166" t="s">
        <v>100</v>
      </c>
      <c r="I166">
        <v>29</v>
      </c>
      <c r="J166" t="s">
        <v>42</v>
      </c>
      <c r="K166" t="s">
        <v>36</v>
      </c>
      <c r="L166" t="s">
        <v>686</v>
      </c>
      <c r="M166" t="s">
        <v>52</v>
      </c>
      <c r="N166" t="s">
        <v>29</v>
      </c>
      <c r="O166">
        <v>1.85</v>
      </c>
      <c r="R166">
        <v>730</v>
      </c>
      <c r="S166">
        <v>14463.07</v>
      </c>
      <c r="T166" t="s">
        <v>63</v>
      </c>
    </row>
    <row r="167" spans="1:20" x14ac:dyDescent="0.35">
      <c r="A167" t="s">
        <v>687</v>
      </c>
      <c r="B167" t="s">
        <v>688</v>
      </c>
      <c r="C167" t="s">
        <v>689</v>
      </c>
      <c r="D167">
        <v>44662</v>
      </c>
      <c r="E167" t="s">
        <v>71</v>
      </c>
      <c r="F167">
        <v>2788.53</v>
      </c>
      <c r="G167">
        <v>23787.71</v>
      </c>
      <c r="H167" t="s">
        <v>35</v>
      </c>
      <c r="I167">
        <v>55</v>
      </c>
      <c r="J167" t="s">
        <v>25</v>
      </c>
      <c r="K167" t="s">
        <v>26</v>
      </c>
      <c r="L167" t="s">
        <v>690</v>
      </c>
      <c r="M167" t="s">
        <v>52</v>
      </c>
      <c r="N167" t="s">
        <v>62</v>
      </c>
      <c r="O167">
        <v>2.54</v>
      </c>
      <c r="P167">
        <v>45253.55</v>
      </c>
      <c r="R167">
        <v>678</v>
      </c>
      <c r="S167">
        <v>2278.7199999999998</v>
      </c>
      <c r="T167" t="s">
        <v>63</v>
      </c>
    </row>
    <row r="168" spans="1:20" x14ac:dyDescent="0.35">
      <c r="A168" t="s">
        <v>691</v>
      </c>
      <c r="B168" t="s">
        <v>692</v>
      </c>
      <c r="C168" t="s">
        <v>693</v>
      </c>
      <c r="D168">
        <v>45058</v>
      </c>
      <c r="E168" t="s">
        <v>34</v>
      </c>
      <c r="F168">
        <v>4781.68</v>
      </c>
      <c r="G168">
        <v>43834.36</v>
      </c>
      <c r="H168" t="s">
        <v>49</v>
      </c>
      <c r="I168">
        <v>61</v>
      </c>
      <c r="J168" t="s">
        <v>42</v>
      </c>
      <c r="K168" t="s">
        <v>26</v>
      </c>
      <c r="L168" t="s">
        <v>694</v>
      </c>
      <c r="M168" t="s">
        <v>52</v>
      </c>
      <c r="N168" t="s">
        <v>29</v>
      </c>
      <c r="O168">
        <v>3.96</v>
      </c>
      <c r="R168">
        <v>727</v>
      </c>
      <c r="S168">
        <v>11602.48</v>
      </c>
      <c r="T168" t="s">
        <v>63</v>
      </c>
    </row>
    <row r="169" spans="1:20" x14ac:dyDescent="0.35">
      <c r="A169" t="s">
        <v>695</v>
      </c>
      <c r="B169" t="s">
        <v>696</v>
      </c>
      <c r="C169" t="s">
        <v>697</v>
      </c>
      <c r="D169">
        <v>44581</v>
      </c>
      <c r="E169" t="s">
        <v>71</v>
      </c>
      <c r="F169">
        <v>9840.02</v>
      </c>
      <c r="G169">
        <v>10968.39</v>
      </c>
      <c r="H169" t="s">
        <v>24</v>
      </c>
      <c r="I169">
        <v>63</v>
      </c>
      <c r="J169" t="s">
        <v>25</v>
      </c>
      <c r="K169" t="s">
        <v>26</v>
      </c>
      <c r="L169" t="s">
        <v>698</v>
      </c>
      <c r="M169" t="s">
        <v>38</v>
      </c>
      <c r="N169" t="s">
        <v>62</v>
      </c>
      <c r="O169">
        <v>2.67</v>
      </c>
      <c r="R169">
        <v>383</v>
      </c>
      <c r="S169">
        <v>14464.23</v>
      </c>
      <c r="T169" t="s">
        <v>30</v>
      </c>
    </row>
    <row r="170" spans="1:20" x14ac:dyDescent="0.35">
      <c r="A170" t="s">
        <v>699</v>
      </c>
      <c r="B170" t="s">
        <v>588</v>
      </c>
      <c r="C170" t="s">
        <v>700</v>
      </c>
      <c r="D170">
        <v>44809</v>
      </c>
      <c r="E170" t="s">
        <v>71</v>
      </c>
      <c r="F170">
        <v>2762.69</v>
      </c>
      <c r="G170">
        <v>7241.93</v>
      </c>
      <c r="H170" t="s">
        <v>125</v>
      </c>
      <c r="I170">
        <v>51</v>
      </c>
      <c r="J170" t="s">
        <v>25</v>
      </c>
      <c r="K170" t="s">
        <v>26</v>
      </c>
      <c r="L170" t="s">
        <v>701</v>
      </c>
      <c r="M170" t="s">
        <v>38</v>
      </c>
      <c r="N170" t="s">
        <v>44</v>
      </c>
      <c r="O170">
        <v>3.95</v>
      </c>
      <c r="Q170">
        <v>12</v>
      </c>
      <c r="R170">
        <v>491</v>
      </c>
      <c r="S170">
        <v>13209.53</v>
      </c>
      <c r="T170" t="s">
        <v>45</v>
      </c>
    </row>
    <row r="171" spans="1:20" x14ac:dyDescent="0.35">
      <c r="A171" t="s">
        <v>702</v>
      </c>
      <c r="B171" t="s">
        <v>703</v>
      </c>
      <c r="C171" t="s">
        <v>704</v>
      </c>
      <c r="D171">
        <v>44853</v>
      </c>
      <c r="E171" t="s">
        <v>71</v>
      </c>
      <c r="F171">
        <v>4129.0200000000004</v>
      </c>
      <c r="G171">
        <v>14989.93</v>
      </c>
      <c r="H171" t="s">
        <v>100</v>
      </c>
      <c r="I171">
        <v>58</v>
      </c>
      <c r="J171" t="s">
        <v>42</v>
      </c>
      <c r="K171" t="s">
        <v>26</v>
      </c>
      <c r="L171" t="s">
        <v>705</v>
      </c>
      <c r="M171" t="s">
        <v>28</v>
      </c>
      <c r="N171" t="s">
        <v>44</v>
      </c>
      <c r="O171">
        <v>1.45</v>
      </c>
      <c r="P171">
        <v>18691.080000000002</v>
      </c>
      <c r="Q171">
        <v>25</v>
      </c>
      <c r="R171">
        <v>340</v>
      </c>
      <c r="S171">
        <v>4182.6000000000004</v>
      </c>
      <c r="T171" t="s">
        <v>30</v>
      </c>
    </row>
    <row r="172" spans="1:20" x14ac:dyDescent="0.35">
      <c r="A172" t="s">
        <v>706</v>
      </c>
      <c r="B172" t="s">
        <v>707</v>
      </c>
      <c r="C172" t="s">
        <v>708</v>
      </c>
      <c r="D172">
        <v>44711</v>
      </c>
      <c r="E172" t="s">
        <v>34</v>
      </c>
      <c r="F172">
        <v>8925.65</v>
      </c>
      <c r="G172">
        <v>27047.29</v>
      </c>
      <c r="H172" t="s">
        <v>49</v>
      </c>
      <c r="I172">
        <v>27</v>
      </c>
      <c r="J172" t="s">
        <v>42</v>
      </c>
      <c r="K172" t="s">
        <v>36</v>
      </c>
      <c r="L172" t="s">
        <v>709</v>
      </c>
      <c r="M172" t="s">
        <v>52</v>
      </c>
      <c r="N172" t="s">
        <v>44</v>
      </c>
      <c r="O172">
        <v>4.22</v>
      </c>
      <c r="Q172">
        <v>9</v>
      </c>
      <c r="R172">
        <v>608</v>
      </c>
      <c r="S172">
        <v>6248.66</v>
      </c>
      <c r="T172" t="s">
        <v>45</v>
      </c>
    </row>
    <row r="173" spans="1:20" x14ac:dyDescent="0.35">
      <c r="A173" t="s">
        <v>710</v>
      </c>
      <c r="B173" t="s">
        <v>711</v>
      </c>
      <c r="C173" t="s">
        <v>712</v>
      </c>
      <c r="D173">
        <v>44887</v>
      </c>
      <c r="E173" t="s">
        <v>23</v>
      </c>
      <c r="F173">
        <v>128.91999999999999</v>
      </c>
      <c r="G173">
        <v>26017.53</v>
      </c>
      <c r="H173" t="s">
        <v>100</v>
      </c>
      <c r="I173">
        <v>34</v>
      </c>
      <c r="J173" t="s">
        <v>42</v>
      </c>
      <c r="K173" t="s">
        <v>50</v>
      </c>
      <c r="L173" t="s">
        <v>713</v>
      </c>
      <c r="M173" t="s">
        <v>38</v>
      </c>
      <c r="N173" t="s">
        <v>29</v>
      </c>
      <c r="O173">
        <v>2.0099999999999998</v>
      </c>
      <c r="R173">
        <v>677</v>
      </c>
      <c r="S173">
        <v>4241.87</v>
      </c>
      <c r="T173" t="s">
        <v>30</v>
      </c>
    </row>
    <row r="174" spans="1:20" x14ac:dyDescent="0.35">
      <c r="A174" t="s">
        <v>714</v>
      </c>
      <c r="B174" t="s">
        <v>715</v>
      </c>
      <c r="C174" t="s">
        <v>716</v>
      </c>
      <c r="D174">
        <v>44951</v>
      </c>
      <c r="E174" t="s">
        <v>71</v>
      </c>
      <c r="F174">
        <v>493.68</v>
      </c>
      <c r="G174">
        <v>41209.339999999997</v>
      </c>
      <c r="H174" t="s">
        <v>35</v>
      </c>
      <c r="I174">
        <v>34</v>
      </c>
      <c r="J174" t="s">
        <v>42</v>
      </c>
      <c r="K174" t="s">
        <v>36</v>
      </c>
      <c r="L174" t="s">
        <v>717</v>
      </c>
      <c r="M174" t="s">
        <v>38</v>
      </c>
      <c r="N174" t="s">
        <v>44</v>
      </c>
      <c r="O174">
        <v>2</v>
      </c>
      <c r="P174">
        <v>46679.37</v>
      </c>
      <c r="R174">
        <v>435</v>
      </c>
      <c r="S174">
        <v>9817.01</v>
      </c>
      <c r="T174" t="s">
        <v>63</v>
      </c>
    </row>
    <row r="175" spans="1:20" x14ac:dyDescent="0.35">
      <c r="A175" t="s">
        <v>718</v>
      </c>
      <c r="B175" t="s">
        <v>719</v>
      </c>
      <c r="C175" t="s">
        <v>720</v>
      </c>
      <c r="D175">
        <v>44875</v>
      </c>
      <c r="E175" t="s">
        <v>34</v>
      </c>
      <c r="F175">
        <v>6080.31</v>
      </c>
      <c r="G175">
        <v>20823.86</v>
      </c>
      <c r="H175" t="s">
        <v>125</v>
      </c>
      <c r="I175">
        <v>20</v>
      </c>
      <c r="J175" t="s">
        <v>42</v>
      </c>
      <c r="K175" t="s">
        <v>36</v>
      </c>
      <c r="L175" t="s">
        <v>721</v>
      </c>
      <c r="M175" t="s">
        <v>52</v>
      </c>
      <c r="N175" t="s">
        <v>62</v>
      </c>
      <c r="O175">
        <v>3.36</v>
      </c>
      <c r="P175">
        <v>8979.69</v>
      </c>
      <c r="Q175">
        <v>26</v>
      </c>
      <c r="R175">
        <v>405</v>
      </c>
      <c r="S175">
        <v>11258.44</v>
      </c>
      <c r="T175" t="s">
        <v>45</v>
      </c>
    </row>
    <row r="176" spans="1:20" x14ac:dyDescent="0.35">
      <c r="A176" t="s">
        <v>722</v>
      </c>
      <c r="B176" t="s">
        <v>723</v>
      </c>
      <c r="C176" t="s">
        <v>724</v>
      </c>
      <c r="D176">
        <v>44767</v>
      </c>
      <c r="E176" t="s">
        <v>23</v>
      </c>
      <c r="F176">
        <v>9083.06</v>
      </c>
      <c r="G176">
        <v>24732.880000000001</v>
      </c>
      <c r="H176" t="s">
        <v>100</v>
      </c>
      <c r="I176">
        <v>48</v>
      </c>
      <c r="J176" t="s">
        <v>42</v>
      </c>
      <c r="K176" t="s">
        <v>36</v>
      </c>
      <c r="L176" t="s">
        <v>725</v>
      </c>
      <c r="M176" t="s">
        <v>38</v>
      </c>
      <c r="N176" t="s">
        <v>29</v>
      </c>
      <c r="O176">
        <v>1.28</v>
      </c>
      <c r="Q176">
        <v>25</v>
      </c>
      <c r="R176">
        <v>818</v>
      </c>
      <c r="S176">
        <v>6121.96</v>
      </c>
      <c r="T176" t="s">
        <v>30</v>
      </c>
    </row>
    <row r="177" spans="1:20" x14ac:dyDescent="0.35">
      <c r="A177" t="s">
        <v>726</v>
      </c>
      <c r="B177" t="s">
        <v>727</v>
      </c>
      <c r="C177" t="s">
        <v>728</v>
      </c>
      <c r="D177">
        <v>45014</v>
      </c>
      <c r="E177" t="s">
        <v>71</v>
      </c>
      <c r="F177">
        <v>2464.6799999999998</v>
      </c>
      <c r="G177">
        <v>1655.02</v>
      </c>
      <c r="H177" t="s">
        <v>24</v>
      </c>
      <c r="I177">
        <v>68</v>
      </c>
      <c r="J177" t="s">
        <v>25</v>
      </c>
      <c r="K177" t="s">
        <v>36</v>
      </c>
      <c r="L177" t="s">
        <v>601</v>
      </c>
      <c r="M177" t="s">
        <v>52</v>
      </c>
      <c r="N177" t="s">
        <v>62</v>
      </c>
      <c r="O177">
        <v>1.1100000000000001</v>
      </c>
      <c r="Q177">
        <v>5</v>
      </c>
      <c r="R177">
        <v>841</v>
      </c>
      <c r="S177">
        <v>9013.59</v>
      </c>
      <c r="T177" t="s">
        <v>45</v>
      </c>
    </row>
    <row r="178" spans="1:20" x14ac:dyDescent="0.35">
      <c r="A178" t="s">
        <v>729</v>
      </c>
      <c r="B178" t="s">
        <v>730</v>
      </c>
      <c r="C178" t="s">
        <v>731</v>
      </c>
      <c r="D178">
        <v>45037</v>
      </c>
      <c r="E178" t="s">
        <v>56</v>
      </c>
      <c r="F178">
        <v>4749.45</v>
      </c>
      <c r="G178">
        <v>21077.22</v>
      </c>
      <c r="H178" t="s">
        <v>125</v>
      </c>
      <c r="I178">
        <v>18</v>
      </c>
      <c r="J178" t="s">
        <v>42</v>
      </c>
      <c r="K178" t="s">
        <v>50</v>
      </c>
      <c r="L178" t="s">
        <v>732</v>
      </c>
      <c r="M178" t="s">
        <v>28</v>
      </c>
      <c r="N178" t="s">
        <v>29</v>
      </c>
      <c r="O178">
        <v>2.04</v>
      </c>
      <c r="P178">
        <v>7429.97</v>
      </c>
      <c r="R178">
        <v>425</v>
      </c>
      <c r="S178">
        <v>10981.97</v>
      </c>
      <c r="T178" t="s">
        <v>45</v>
      </c>
    </row>
    <row r="179" spans="1:20" x14ac:dyDescent="0.35">
      <c r="A179" t="s">
        <v>733</v>
      </c>
      <c r="B179" t="s">
        <v>734</v>
      </c>
      <c r="C179" t="s">
        <v>735</v>
      </c>
      <c r="D179">
        <v>44829</v>
      </c>
      <c r="E179" t="s">
        <v>23</v>
      </c>
      <c r="F179">
        <v>4559.6099999999997</v>
      </c>
      <c r="G179">
        <v>32740.94</v>
      </c>
      <c r="H179" t="s">
        <v>24</v>
      </c>
      <c r="I179">
        <v>29</v>
      </c>
      <c r="J179" t="s">
        <v>25</v>
      </c>
      <c r="K179" t="s">
        <v>36</v>
      </c>
      <c r="L179" t="s">
        <v>375</v>
      </c>
      <c r="M179" t="s">
        <v>28</v>
      </c>
      <c r="N179" t="s">
        <v>62</v>
      </c>
      <c r="O179">
        <v>3.15</v>
      </c>
      <c r="P179">
        <v>21214.45</v>
      </c>
      <c r="Q179">
        <v>5</v>
      </c>
      <c r="R179">
        <v>656</v>
      </c>
      <c r="S179">
        <v>7477.42</v>
      </c>
      <c r="T179" t="s">
        <v>30</v>
      </c>
    </row>
    <row r="180" spans="1:20" x14ac:dyDescent="0.35">
      <c r="A180" t="s">
        <v>736</v>
      </c>
      <c r="B180" t="s">
        <v>737</v>
      </c>
      <c r="C180" t="s">
        <v>738</v>
      </c>
      <c r="D180">
        <v>44923</v>
      </c>
      <c r="E180" t="s">
        <v>71</v>
      </c>
      <c r="F180">
        <v>4782.42</v>
      </c>
      <c r="G180">
        <v>1759.91</v>
      </c>
      <c r="H180" t="s">
        <v>100</v>
      </c>
      <c r="I180">
        <v>56</v>
      </c>
      <c r="J180" t="s">
        <v>25</v>
      </c>
      <c r="K180" t="s">
        <v>26</v>
      </c>
      <c r="L180" t="s">
        <v>739</v>
      </c>
      <c r="M180" t="s">
        <v>28</v>
      </c>
      <c r="N180" t="s">
        <v>62</v>
      </c>
      <c r="O180">
        <v>4.63</v>
      </c>
      <c r="P180">
        <v>41591.449999999997</v>
      </c>
      <c r="Q180">
        <v>12</v>
      </c>
      <c r="R180">
        <v>699</v>
      </c>
      <c r="S180">
        <v>13102.2</v>
      </c>
      <c r="T180" t="s">
        <v>30</v>
      </c>
    </row>
    <row r="181" spans="1:20" x14ac:dyDescent="0.35">
      <c r="A181" t="s">
        <v>740</v>
      </c>
      <c r="B181" t="s">
        <v>741</v>
      </c>
      <c r="C181" t="s">
        <v>742</v>
      </c>
      <c r="D181">
        <v>44802</v>
      </c>
      <c r="E181" t="s">
        <v>23</v>
      </c>
      <c r="F181">
        <v>6262.94</v>
      </c>
      <c r="G181">
        <v>14763.22</v>
      </c>
      <c r="H181" t="s">
        <v>125</v>
      </c>
      <c r="I181">
        <v>21</v>
      </c>
      <c r="J181" t="s">
        <v>42</v>
      </c>
      <c r="K181" t="s">
        <v>36</v>
      </c>
      <c r="L181" t="s">
        <v>743</v>
      </c>
      <c r="M181" t="s">
        <v>52</v>
      </c>
      <c r="N181" t="s">
        <v>29</v>
      </c>
      <c r="O181">
        <v>4.3899999999999997</v>
      </c>
      <c r="P181">
        <v>32520.94</v>
      </c>
      <c r="Q181">
        <v>24</v>
      </c>
      <c r="R181">
        <v>378</v>
      </c>
      <c r="S181">
        <v>12030.15</v>
      </c>
      <c r="T181" t="s">
        <v>45</v>
      </c>
    </row>
    <row r="182" spans="1:20" x14ac:dyDescent="0.35">
      <c r="A182" t="s">
        <v>744</v>
      </c>
      <c r="B182" t="s">
        <v>745</v>
      </c>
      <c r="C182" t="s">
        <v>746</v>
      </c>
      <c r="D182">
        <v>44661</v>
      </c>
      <c r="E182" t="s">
        <v>23</v>
      </c>
      <c r="F182">
        <v>4750.46</v>
      </c>
      <c r="G182">
        <v>11189.86</v>
      </c>
      <c r="H182" t="s">
        <v>24</v>
      </c>
      <c r="I182">
        <v>59</v>
      </c>
      <c r="J182" t="s">
        <v>25</v>
      </c>
      <c r="K182" t="s">
        <v>36</v>
      </c>
      <c r="L182" t="s">
        <v>747</v>
      </c>
      <c r="M182" t="s">
        <v>38</v>
      </c>
      <c r="N182" t="s">
        <v>29</v>
      </c>
      <c r="O182">
        <v>2.96</v>
      </c>
      <c r="R182">
        <v>688</v>
      </c>
      <c r="S182">
        <v>2840.65</v>
      </c>
      <c r="T182" t="s">
        <v>45</v>
      </c>
    </row>
    <row r="183" spans="1:20" x14ac:dyDescent="0.35">
      <c r="A183" t="s">
        <v>748</v>
      </c>
      <c r="B183" t="s">
        <v>749</v>
      </c>
      <c r="C183" t="s">
        <v>750</v>
      </c>
      <c r="D183">
        <v>44605</v>
      </c>
      <c r="E183" t="s">
        <v>23</v>
      </c>
      <c r="F183">
        <v>4529.93</v>
      </c>
      <c r="G183">
        <v>3057.29</v>
      </c>
      <c r="H183" t="s">
        <v>35</v>
      </c>
      <c r="I183">
        <v>30</v>
      </c>
      <c r="J183" t="s">
        <v>25</v>
      </c>
      <c r="K183" t="s">
        <v>50</v>
      </c>
      <c r="L183" t="s">
        <v>751</v>
      </c>
      <c r="M183" t="s">
        <v>28</v>
      </c>
      <c r="N183" t="s">
        <v>44</v>
      </c>
      <c r="O183">
        <v>1.1499999999999999</v>
      </c>
      <c r="P183">
        <v>37356.5</v>
      </c>
      <c r="Q183">
        <v>20</v>
      </c>
      <c r="R183">
        <v>834</v>
      </c>
      <c r="S183">
        <v>10074.629999999999</v>
      </c>
      <c r="T183" t="s">
        <v>63</v>
      </c>
    </row>
    <row r="184" spans="1:20" x14ac:dyDescent="0.35">
      <c r="A184" t="s">
        <v>752</v>
      </c>
      <c r="B184" t="s">
        <v>753</v>
      </c>
      <c r="C184" t="s">
        <v>754</v>
      </c>
      <c r="D184">
        <v>45030</v>
      </c>
      <c r="E184" t="s">
        <v>23</v>
      </c>
      <c r="F184">
        <v>4795.46</v>
      </c>
      <c r="G184">
        <v>24483.74</v>
      </c>
      <c r="H184" t="s">
        <v>35</v>
      </c>
      <c r="I184">
        <v>51</v>
      </c>
      <c r="J184" t="s">
        <v>42</v>
      </c>
      <c r="K184" t="s">
        <v>50</v>
      </c>
      <c r="L184" t="s">
        <v>566</v>
      </c>
      <c r="M184" t="s">
        <v>28</v>
      </c>
      <c r="N184" t="s">
        <v>44</v>
      </c>
      <c r="O184">
        <v>3.14</v>
      </c>
      <c r="Q184">
        <v>9</v>
      </c>
      <c r="R184">
        <v>373</v>
      </c>
      <c r="S184">
        <v>5059.2299999999996</v>
      </c>
      <c r="T184" t="s">
        <v>45</v>
      </c>
    </row>
    <row r="185" spans="1:20" x14ac:dyDescent="0.35">
      <c r="A185" t="s">
        <v>755</v>
      </c>
      <c r="B185" t="s">
        <v>756</v>
      </c>
      <c r="C185" t="s">
        <v>757</v>
      </c>
      <c r="D185">
        <v>44637</v>
      </c>
      <c r="E185" t="s">
        <v>23</v>
      </c>
      <c r="F185">
        <v>5949.59</v>
      </c>
      <c r="G185">
        <v>9904.44</v>
      </c>
      <c r="H185" t="s">
        <v>100</v>
      </c>
      <c r="I185">
        <v>59</v>
      </c>
      <c r="J185" t="s">
        <v>42</v>
      </c>
      <c r="K185" t="s">
        <v>26</v>
      </c>
      <c r="L185" t="s">
        <v>493</v>
      </c>
      <c r="M185" t="s">
        <v>28</v>
      </c>
      <c r="N185" t="s">
        <v>62</v>
      </c>
      <c r="O185">
        <v>3.82</v>
      </c>
      <c r="R185">
        <v>304</v>
      </c>
      <c r="S185">
        <v>9247.74</v>
      </c>
      <c r="T185" t="s">
        <v>63</v>
      </c>
    </row>
    <row r="186" spans="1:20" x14ac:dyDescent="0.35">
      <c r="A186" t="s">
        <v>758</v>
      </c>
      <c r="B186" t="s">
        <v>759</v>
      </c>
      <c r="C186" t="s">
        <v>760</v>
      </c>
      <c r="D186">
        <v>45114</v>
      </c>
      <c r="E186" t="s">
        <v>23</v>
      </c>
      <c r="F186">
        <v>5416.37</v>
      </c>
      <c r="G186">
        <v>37411</v>
      </c>
      <c r="H186" t="s">
        <v>125</v>
      </c>
      <c r="I186">
        <v>38</v>
      </c>
      <c r="J186" t="s">
        <v>42</v>
      </c>
      <c r="K186" t="s">
        <v>36</v>
      </c>
      <c r="L186" t="s">
        <v>761</v>
      </c>
      <c r="M186" t="s">
        <v>38</v>
      </c>
      <c r="N186" t="s">
        <v>62</v>
      </c>
      <c r="O186">
        <v>2.36</v>
      </c>
      <c r="R186">
        <v>762</v>
      </c>
      <c r="S186">
        <v>14439.55</v>
      </c>
      <c r="T186" t="s">
        <v>63</v>
      </c>
    </row>
    <row r="187" spans="1:20" x14ac:dyDescent="0.35">
      <c r="A187" t="s">
        <v>762</v>
      </c>
      <c r="B187" t="s">
        <v>763</v>
      </c>
      <c r="C187" t="s">
        <v>764</v>
      </c>
      <c r="D187">
        <v>44961</v>
      </c>
      <c r="E187" t="s">
        <v>71</v>
      </c>
      <c r="F187">
        <v>8555.9500000000007</v>
      </c>
      <c r="G187">
        <v>42548.47</v>
      </c>
      <c r="H187" t="s">
        <v>49</v>
      </c>
      <c r="I187">
        <v>39</v>
      </c>
      <c r="J187" t="s">
        <v>25</v>
      </c>
      <c r="K187" t="s">
        <v>36</v>
      </c>
      <c r="L187" t="s">
        <v>765</v>
      </c>
      <c r="M187" t="s">
        <v>38</v>
      </c>
      <c r="N187" t="s">
        <v>62</v>
      </c>
      <c r="O187">
        <v>1.44</v>
      </c>
      <c r="P187">
        <v>7185.5</v>
      </c>
      <c r="R187">
        <v>381</v>
      </c>
      <c r="S187">
        <v>13427.81</v>
      </c>
      <c r="T187" t="s">
        <v>63</v>
      </c>
    </row>
    <row r="188" spans="1:20" x14ac:dyDescent="0.35">
      <c r="A188" t="s">
        <v>766</v>
      </c>
      <c r="B188" t="s">
        <v>767</v>
      </c>
      <c r="C188" t="s">
        <v>768</v>
      </c>
      <c r="D188">
        <v>45055</v>
      </c>
      <c r="E188" t="s">
        <v>56</v>
      </c>
      <c r="F188">
        <v>590.02</v>
      </c>
      <c r="G188">
        <v>27733.67</v>
      </c>
      <c r="H188" t="s">
        <v>125</v>
      </c>
      <c r="I188">
        <v>21</v>
      </c>
      <c r="J188" t="s">
        <v>42</v>
      </c>
      <c r="K188" t="s">
        <v>36</v>
      </c>
      <c r="L188" t="s">
        <v>769</v>
      </c>
      <c r="M188" t="s">
        <v>52</v>
      </c>
      <c r="N188" t="s">
        <v>29</v>
      </c>
      <c r="O188">
        <v>2.11</v>
      </c>
      <c r="P188">
        <v>32167.7</v>
      </c>
      <c r="R188">
        <v>836</v>
      </c>
      <c r="S188">
        <v>7258.71</v>
      </c>
      <c r="T188" t="s">
        <v>45</v>
      </c>
    </row>
    <row r="189" spans="1:20" x14ac:dyDescent="0.35">
      <c r="A189" t="s">
        <v>770</v>
      </c>
      <c r="B189" t="s">
        <v>771</v>
      </c>
      <c r="C189" t="s">
        <v>772</v>
      </c>
      <c r="D189">
        <v>45148</v>
      </c>
      <c r="E189" t="s">
        <v>34</v>
      </c>
      <c r="F189">
        <v>8349.84</v>
      </c>
      <c r="G189">
        <v>49103.66</v>
      </c>
      <c r="H189" t="s">
        <v>35</v>
      </c>
      <c r="I189">
        <v>35</v>
      </c>
      <c r="J189" t="s">
        <v>42</v>
      </c>
      <c r="K189" t="s">
        <v>26</v>
      </c>
      <c r="L189" t="s">
        <v>773</v>
      </c>
      <c r="M189" t="s">
        <v>28</v>
      </c>
      <c r="N189" t="s">
        <v>29</v>
      </c>
      <c r="O189">
        <v>4.09</v>
      </c>
      <c r="R189">
        <v>704</v>
      </c>
      <c r="S189">
        <v>5789.68</v>
      </c>
      <c r="T189" t="s">
        <v>63</v>
      </c>
    </row>
    <row r="190" spans="1:20" x14ac:dyDescent="0.35">
      <c r="A190" t="s">
        <v>774</v>
      </c>
      <c r="B190" t="s">
        <v>775</v>
      </c>
      <c r="C190" t="s">
        <v>776</v>
      </c>
      <c r="D190">
        <v>44876</v>
      </c>
      <c r="E190" t="s">
        <v>23</v>
      </c>
      <c r="F190">
        <v>8454.85</v>
      </c>
      <c r="G190">
        <v>23073.45</v>
      </c>
      <c r="H190" t="s">
        <v>24</v>
      </c>
      <c r="I190">
        <v>22</v>
      </c>
      <c r="J190" t="s">
        <v>42</v>
      </c>
      <c r="K190" t="s">
        <v>50</v>
      </c>
      <c r="L190" t="s">
        <v>777</v>
      </c>
      <c r="M190" t="s">
        <v>38</v>
      </c>
      <c r="N190" t="s">
        <v>44</v>
      </c>
      <c r="O190">
        <v>2.4</v>
      </c>
      <c r="Q190">
        <v>23</v>
      </c>
      <c r="R190">
        <v>813</v>
      </c>
      <c r="S190">
        <v>5047.2700000000004</v>
      </c>
      <c r="T190" t="s">
        <v>45</v>
      </c>
    </row>
    <row r="191" spans="1:20" x14ac:dyDescent="0.35">
      <c r="A191" t="s">
        <v>778</v>
      </c>
      <c r="B191" t="s">
        <v>779</v>
      </c>
      <c r="C191" t="s">
        <v>780</v>
      </c>
      <c r="D191">
        <v>44828</v>
      </c>
      <c r="E191" t="s">
        <v>34</v>
      </c>
      <c r="F191">
        <v>2920.59</v>
      </c>
      <c r="G191">
        <v>26155.040000000001</v>
      </c>
      <c r="H191" t="s">
        <v>49</v>
      </c>
      <c r="I191">
        <v>36</v>
      </c>
      <c r="J191" t="s">
        <v>42</v>
      </c>
      <c r="K191" t="s">
        <v>26</v>
      </c>
      <c r="L191" t="s">
        <v>781</v>
      </c>
      <c r="M191" t="s">
        <v>52</v>
      </c>
      <c r="N191" t="s">
        <v>62</v>
      </c>
      <c r="O191">
        <v>4.25</v>
      </c>
      <c r="Q191">
        <v>11</v>
      </c>
      <c r="R191">
        <v>577</v>
      </c>
      <c r="S191">
        <v>8922.69</v>
      </c>
      <c r="T191" t="s">
        <v>45</v>
      </c>
    </row>
    <row r="192" spans="1:20" x14ac:dyDescent="0.35">
      <c r="A192" t="s">
        <v>782</v>
      </c>
      <c r="B192" t="s">
        <v>783</v>
      </c>
      <c r="C192" t="s">
        <v>784</v>
      </c>
      <c r="D192">
        <v>44942</v>
      </c>
      <c r="E192" t="s">
        <v>71</v>
      </c>
      <c r="F192">
        <v>4682.2299999999996</v>
      </c>
      <c r="G192">
        <v>49471.67</v>
      </c>
      <c r="H192" t="s">
        <v>100</v>
      </c>
      <c r="I192">
        <v>19</v>
      </c>
      <c r="J192" t="s">
        <v>25</v>
      </c>
      <c r="K192" t="s">
        <v>36</v>
      </c>
      <c r="L192" t="s">
        <v>785</v>
      </c>
      <c r="M192" t="s">
        <v>28</v>
      </c>
      <c r="N192" t="s">
        <v>44</v>
      </c>
      <c r="O192">
        <v>2.2799999999999998</v>
      </c>
      <c r="R192">
        <v>523</v>
      </c>
      <c r="S192">
        <v>3485.23</v>
      </c>
      <c r="T192" t="s">
        <v>30</v>
      </c>
    </row>
    <row r="193" spans="1:20" x14ac:dyDescent="0.35">
      <c r="A193" t="s">
        <v>786</v>
      </c>
      <c r="B193" t="s">
        <v>787</v>
      </c>
      <c r="C193" t="s">
        <v>788</v>
      </c>
      <c r="D193">
        <v>45073</v>
      </c>
      <c r="E193" t="s">
        <v>23</v>
      </c>
      <c r="F193">
        <v>4441.53</v>
      </c>
      <c r="G193">
        <v>12345.87</v>
      </c>
      <c r="H193" t="s">
        <v>49</v>
      </c>
      <c r="I193">
        <v>29</v>
      </c>
      <c r="J193" t="s">
        <v>42</v>
      </c>
      <c r="K193" t="s">
        <v>50</v>
      </c>
      <c r="L193" t="s">
        <v>505</v>
      </c>
      <c r="M193" t="s">
        <v>38</v>
      </c>
      <c r="N193" t="s">
        <v>29</v>
      </c>
      <c r="O193">
        <v>1.65</v>
      </c>
      <c r="R193">
        <v>367</v>
      </c>
      <c r="S193">
        <v>9140.58</v>
      </c>
      <c r="T193" t="s">
        <v>45</v>
      </c>
    </row>
    <row r="194" spans="1:20" x14ac:dyDescent="0.35">
      <c r="A194" t="s">
        <v>789</v>
      </c>
      <c r="B194" t="s">
        <v>790</v>
      </c>
      <c r="C194" t="s">
        <v>791</v>
      </c>
      <c r="D194">
        <v>44952</v>
      </c>
      <c r="E194" t="s">
        <v>56</v>
      </c>
      <c r="F194">
        <v>2263.25</v>
      </c>
      <c r="G194">
        <v>47184.75</v>
      </c>
      <c r="H194" t="s">
        <v>100</v>
      </c>
      <c r="I194">
        <v>34</v>
      </c>
      <c r="J194" t="s">
        <v>25</v>
      </c>
      <c r="K194" t="s">
        <v>50</v>
      </c>
      <c r="L194" t="s">
        <v>792</v>
      </c>
      <c r="M194" t="s">
        <v>38</v>
      </c>
      <c r="N194" t="s">
        <v>29</v>
      </c>
      <c r="O194">
        <v>2.74</v>
      </c>
      <c r="P194">
        <v>35024.6</v>
      </c>
      <c r="R194">
        <v>619</v>
      </c>
      <c r="S194">
        <v>2017.34</v>
      </c>
      <c r="T194" t="s">
        <v>45</v>
      </c>
    </row>
    <row r="195" spans="1:20" x14ac:dyDescent="0.35">
      <c r="A195" t="s">
        <v>793</v>
      </c>
      <c r="B195" t="s">
        <v>794</v>
      </c>
      <c r="C195" t="s">
        <v>795</v>
      </c>
      <c r="D195">
        <v>45026</v>
      </c>
      <c r="E195" t="s">
        <v>34</v>
      </c>
      <c r="F195">
        <v>4028.29</v>
      </c>
      <c r="G195">
        <v>3099.04</v>
      </c>
      <c r="H195" t="s">
        <v>49</v>
      </c>
      <c r="I195">
        <v>27</v>
      </c>
      <c r="J195" t="s">
        <v>42</v>
      </c>
      <c r="K195" t="s">
        <v>26</v>
      </c>
      <c r="L195" t="s">
        <v>796</v>
      </c>
      <c r="M195" t="s">
        <v>52</v>
      </c>
      <c r="N195" t="s">
        <v>29</v>
      </c>
      <c r="O195">
        <v>2.81</v>
      </c>
      <c r="P195">
        <v>49614.43</v>
      </c>
      <c r="R195">
        <v>318</v>
      </c>
      <c r="S195">
        <v>6210.05</v>
      </c>
      <c r="T195" t="s">
        <v>63</v>
      </c>
    </row>
    <row r="196" spans="1:20" x14ac:dyDescent="0.35">
      <c r="A196" t="s">
        <v>797</v>
      </c>
      <c r="B196" t="s">
        <v>798</v>
      </c>
      <c r="C196" t="s">
        <v>799</v>
      </c>
      <c r="D196">
        <v>44750</v>
      </c>
      <c r="E196" t="s">
        <v>23</v>
      </c>
      <c r="F196">
        <v>539.44000000000005</v>
      </c>
      <c r="G196">
        <v>22872.959999999999</v>
      </c>
      <c r="H196" t="s">
        <v>100</v>
      </c>
      <c r="I196">
        <v>51</v>
      </c>
      <c r="J196" t="s">
        <v>25</v>
      </c>
      <c r="K196" t="s">
        <v>50</v>
      </c>
      <c r="L196" t="s">
        <v>162</v>
      </c>
      <c r="M196" t="s">
        <v>28</v>
      </c>
      <c r="N196" t="s">
        <v>44</v>
      </c>
      <c r="O196">
        <v>1.06</v>
      </c>
      <c r="P196">
        <v>37094.86</v>
      </c>
      <c r="Q196">
        <v>17</v>
      </c>
      <c r="R196">
        <v>642</v>
      </c>
      <c r="S196">
        <v>4859.1499999999996</v>
      </c>
      <c r="T196" t="s">
        <v>45</v>
      </c>
    </row>
    <row r="197" spans="1:20" x14ac:dyDescent="0.35">
      <c r="A197" t="s">
        <v>800</v>
      </c>
      <c r="B197" t="s">
        <v>801</v>
      </c>
      <c r="C197" t="s">
        <v>802</v>
      </c>
      <c r="D197">
        <v>44721</v>
      </c>
      <c r="E197" t="s">
        <v>71</v>
      </c>
      <c r="F197">
        <v>2850.44</v>
      </c>
      <c r="G197">
        <v>4430.17</v>
      </c>
      <c r="H197" t="s">
        <v>100</v>
      </c>
      <c r="I197">
        <v>23</v>
      </c>
      <c r="J197" t="s">
        <v>25</v>
      </c>
      <c r="K197" t="s">
        <v>50</v>
      </c>
      <c r="L197" t="s">
        <v>803</v>
      </c>
      <c r="M197" t="s">
        <v>28</v>
      </c>
      <c r="N197" t="s">
        <v>29</v>
      </c>
      <c r="O197">
        <v>1.47</v>
      </c>
      <c r="Q197">
        <v>7</v>
      </c>
      <c r="R197">
        <v>642</v>
      </c>
      <c r="S197">
        <v>14625.84</v>
      </c>
      <c r="T197" t="s">
        <v>45</v>
      </c>
    </row>
    <row r="198" spans="1:20" x14ac:dyDescent="0.35">
      <c r="A198" t="s">
        <v>804</v>
      </c>
      <c r="B198" t="s">
        <v>805</v>
      </c>
      <c r="C198" t="s">
        <v>806</v>
      </c>
      <c r="D198">
        <v>44714</v>
      </c>
      <c r="E198" t="s">
        <v>56</v>
      </c>
      <c r="F198">
        <v>8185.15</v>
      </c>
      <c r="G198">
        <v>36732.5</v>
      </c>
      <c r="H198" t="s">
        <v>49</v>
      </c>
      <c r="I198">
        <v>25</v>
      </c>
      <c r="J198" t="s">
        <v>25</v>
      </c>
      <c r="K198" t="s">
        <v>36</v>
      </c>
      <c r="L198" t="s">
        <v>72</v>
      </c>
      <c r="M198" t="s">
        <v>38</v>
      </c>
      <c r="N198" t="s">
        <v>62</v>
      </c>
      <c r="O198">
        <v>1.74</v>
      </c>
      <c r="R198">
        <v>396</v>
      </c>
      <c r="S198">
        <v>11454.15</v>
      </c>
      <c r="T198" t="s">
        <v>30</v>
      </c>
    </row>
    <row r="199" spans="1:20" x14ac:dyDescent="0.35">
      <c r="A199" t="s">
        <v>807</v>
      </c>
      <c r="B199" t="s">
        <v>808</v>
      </c>
      <c r="C199" t="s">
        <v>809</v>
      </c>
      <c r="D199">
        <v>44983</v>
      </c>
      <c r="E199" t="s">
        <v>34</v>
      </c>
      <c r="F199">
        <v>2917.17</v>
      </c>
      <c r="G199">
        <v>30812.04</v>
      </c>
      <c r="H199" t="s">
        <v>49</v>
      </c>
      <c r="I199">
        <v>68</v>
      </c>
      <c r="J199" t="s">
        <v>42</v>
      </c>
      <c r="K199" t="s">
        <v>36</v>
      </c>
      <c r="L199" t="s">
        <v>810</v>
      </c>
      <c r="M199" t="s">
        <v>28</v>
      </c>
      <c r="N199" t="s">
        <v>44</v>
      </c>
      <c r="O199">
        <v>1.45</v>
      </c>
      <c r="P199">
        <v>35049.980000000003</v>
      </c>
      <c r="R199">
        <v>351</v>
      </c>
      <c r="S199">
        <v>6545.49</v>
      </c>
      <c r="T199" t="s">
        <v>30</v>
      </c>
    </row>
    <row r="200" spans="1:20" x14ac:dyDescent="0.35">
      <c r="A200" t="s">
        <v>811</v>
      </c>
      <c r="B200" t="s">
        <v>812</v>
      </c>
      <c r="C200" t="s">
        <v>813</v>
      </c>
      <c r="D200">
        <v>44622</v>
      </c>
      <c r="E200" t="s">
        <v>34</v>
      </c>
      <c r="F200">
        <v>8200.25</v>
      </c>
      <c r="G200">
        <v>35625.08</v>
      </c>
      <c r="H200" t="s">
        <v>100</v>
      </c>
      <c r="I200">
        <v>28</v>
      </c>
      <c r="J200" t="s">
        <v>25</v>
      </c>
      <c r="K200" t="s">
        <v>50</v>
      </c>
      <c r="L200" t="s">
        <v>814</v>
      </c>
      <c r="M200" t="s">
        <v>52</v>
      </c>
      <c r="N200" t="s">
        <v>29</v>
      </c>
      <c r="O200">
        <v>2.37</v>
      </c>
      <c r="P200">
        <v>7670.22</v>
      </c>
      <c r="R200">
        <v>474</v>
      </c>
      <c r="S200">
        <v>3206.99</v>
      </c>
      <c r="T200" t="s">
        <v>63</v>
      </c>
    </row>
    <row r="201" spans="1:20" x14ac:dyDescent="0.35">
      <c r="A201" t="s">
        <v>815</v>
      </c>
      <c r="B201" t="s">
        <v>816</v>
      </c>
      <c r="C201" t="s">
        <v>817</v>
      </c>
      <c r="D201">
        <v>44762</v>
      </c>
      <c r="E201" t="s">
        <v>23</v>
      </c>
      <c r="F201">
        <v>5362.83</v>
      </c>
      <c r="G201">
        <v>19349.54</v>
      </c>
      <c r="H201" t="s">
        <v>35</v>
      </c>
      <c r="I201">
        <v>29</v>
      </c>
      <c r="J201" t="s">
        <v>42</v>
      </c>
      <c r="K201" t="s">
        <v>50</v>
      </c>
      <c r="L201" t="s">
        <v>818</v>
      </c>
      <c r="M201" t="s">
        <v>38</v>
      </c>
      <c r="N201" t="s">
        <v>44</v>
      </c>
      <c r="O201">
        <v>4.8600000000000003</v>
      </c>
      <c r="R201">
        <v>637</v>
      </c>
      <c r="S201">
        <v>8718.41</v>
      </c>
      <c r="T201" t="s">
        <v>63</v>
      </c>
    </row>
    <row r="202" spans="1:20" x14ac:dyDescent="0.35">
      <c r="A202" t="s">
        <v>819</v>
      </c>
      <c r="B202" t="s">
        <v>820</v>
      </c>
      <c r="C202" t="s">
        <v>821</v>
      </c>
      <c r="D202">
        <v>44810</v>
      </c>
      <c r="E202" t="s">
        <v>56</v>
      </c>
      <c r="F202">
        <v>8810.64</v>
      </c>
      <c r="G202">
        <v>19104.61</v>
      </c>
      <c r="H202" t="s">
        <v>49</v>
      </c>
      <c r="I202">
        <v>26</v>
      </c>
      <c r="J202" t="s">
        <v>42</v>
      </c>
      <c r="K202" t="s">
        <v>26</v>
      </c>
      <c r="L202" t="s">
        <v>822</v>
      </c>
      <c r="M202" t="s">
        <v>38</v>
      </c>
      <c r="N202" t="s">
        <v>44</v>
      </c>
      <c r="O202">
        <v>3.04</v>
      </c>
      <c r="P202">
        <v>44740.37</v>
      </c>
      <c r="Q202">
        <v>2</v>
      </c>
      <c r="R202">
        <v>652</v>
      </c>
      <c r="S202">
        <v>4774.82</v>
      </c>
      <c r="T202" t="s">
        <v>30</v>
      </c>
    </row>
    <row r="203" spans="1:20" x14ac:dyDescent="0.35">
      <c r="A203" t="s">
        <v>823</v>
      </c>
      <c r="B203" t="s">
        <v>824</v>
      </c>
      <c r="C203" t="s">
        <v>825</v>
      </c>
      <c r="D203">
        <v>45078</v>
      </c>
      <c r="E203" t="s">
        <v>56</v>
      </c>
      <c r="F203">
        <v>5790.32</v>
      </c>
      <c r="G203">
        <v>3220.64</v>
      </c>
      <c r="H203" t="s">
        <v>125</v>
      </c>
      <c r="I203">
        <v>19</v>
      </c>
      <c r="J203" t="s">
        <v>42</v>
      </c>
      <c r="K203" t="s">
        <v>26</v>
      </c>
      <c r="L203" t="s">
        <v>826</v>
      </c>
      <c r="M203" t="s">
        <v>52</v>
      </c>
      <c r="N203" t="s">
        <v>29</v>
      </c>
      <c r="O203">
        <v>3.51</v>
      </c>
      <c r="P203">
        <v>30966.880000000001</v>
      </c>
      <c r="R203">
        <v>690</v>
      </c>
      <c r="S203">
        <v>8973.58</v>
      </c>
      <c r="T203" t="s">
        <v>30</v>
      </c>
    </row>
    <row r="204" spans="1:20" x14ac:dyDescent="0.35">
      <c r="A204" t="s">
        <v>827</v>
      </c>
      <c r="B204" t="s">
        <v>828</v>
      </c>
      <c r="C204" t="s">
        <v>829</v>
      </c>
      <c r="D204">
        <v>44759</v>
      </c>
      <c r="E204" t="s">
        <v>56</v>
      </c>
      <c r="F204">
        <v>393.72</v>
      </c>
      <c r="G204">
        <v>18147.3</v>
      </c>
      <c r="H204" t="s">
        <v>24</v>
      </c>
      <c r="I204">
        <v>25</v>
      </c>
      <c r="J204" t="s">
        <v>42</v>
      </c>
      <c r="K204" t="s">
        <v>50</v>
      </c>
      <c r="L204" t="s">
        <v>383</v>
      </c>
      <c r="M204" t="s">
        <v>38</v>
      </c>
      <c r="N204" t="s">
        <v>29</v>
      </c>
      <c r="O204">
        <v>2.4300000000000002</v>
      </c>
      <c r="P204">
        <v>20930.88</v>
      </c>
      <c r="R204">
        <v>414</v>
      </c>
      <c r="S204">
        <v>12859.71</v>
      </c>
      <c r="T204" t="s">
        <v>45</v>
      </c>
    </row>
    <row r="205" spans="1:20" x14ac:dyDescent="0.35">
      <c r="A205" t="s">
        <v>830</v>
      </c>
      <c r="B205" t="s">
        <v>831</v>
      </c>
      <c r="C205" t="s">
        <v>832</v>
      </c>
      <c r="D205">
        <v>44911</v>
      </c>
      <c r="E205" t="s">
        <v>56</v>
      </c>
      <c r="F205">
        <v>6786.66</v>
      </c>
      <c r="G205">
        <v>46535.13</v>
      </c>
      <c r="H205" t="s">
        <v>100</v>
      </c>
      <c r="I205">
        <v>28</v>
      </c>
      <c r="J205" t="s">
        <v>42</v>
      </c>
      <c r="K205" t="s">
        <v>36</v>
      </c>
      <c r="L205" t="s">
        <v>833</v>
      </c>
      <c r="M205" t="s">
        <v>28</v>
      </c>
      <c r="N205" t="s">
        <v>44</v>
      </c>
      <c r="O205">
        <v>2.29</v>
      </c>
      <c r="Q205">
        <v>4</v>
      </c>
      <c r="R205">
        <v>647</v>
      </c>
      <c r="S205">
        <v>10005.299999999999</v>
      </c>
      <c r="T205" t="s">
        <v>63</v>
      </c>
    </row>
    <row r="206" spans="1:20" x14ac:dyDescent="0.35">
      <c r="A206" t="s">
        <v>834</v>
      </c>
      <c r="B206" t="s">
        <v>835</v>
      </c>
      <c r="C206" t="s">
        <v>836</v>
      </c>
      <c r="D206">
        <v>45159</v>
      </c>
      <c r="E206" t="s">
        <v>71</v>
      </c>
      <c r="F206">
        <v>544.04999999999995</v>
      </c>
      <c r="G206">
        <v>19582.099999999999</v>
      </c>
      <c r="H206" t="s">
        <v>100</v>
      </c>
      <c r="I206">
        <v>53</v>
      </c>
      <c r="J206" t="s">
        <v>25</v>
      </c>
      <c r="K206" t="s">
        <v>50</v>
      </c>
      <c r="L206" t="s">
        <v>837</v>
      </c>
      <c r="M206" t="s">
        <v>28</v>
      </c>
      <c r="N206" t="s">
        <v>44</v>
      </c>
      <c r="O206">
        <v>1.0900000000000001</v>
      </c>
      <c r="R206">
        <v>300</v>
      </c>
      <c r="S206">
        <v>10239.25</v>
      </c>
      <c r="T206" t="s">
        <v>63</v>
      </c>
    </row>
    <row r="207" spans="1:20" x14ac:dyDescent="0.35">
      <c r="A207" t="s">
        <v>838</v>
      </c>
      <c r="B207" t="s">
        <v>839</v>
      </c>
      <c r="C207" t="s">
        <v>840</v>
      </c>
      <c r="D207">
        <v>44643</v>
      </c>
      <c r="E207" t="s">
        <v>56</v>
      </c>
      <c r="F207">
        <v>4560.91</v>
      </c>
      <c r="G207">
        <v>41737.019999999997</v>
      </c>
      <c r="H207" t="s">
        <v>24</v>
      </c>
      <c r="I207">
        <v>27</v>
      </c>
      <c r="J207" t="s">
        <v>42</v>
      </c>
      <c r="K207" t="s">
        <v>50</v>
      </c>
      <c r="L207" t="s">
        <v>27</v>
      </c>
      <c r="M207" t="s">
        <v>38</v>
      </c>
      <c r="N207" t="s">
        <v>29</v>
      </c>
      <c r="O207">
        <v>3</v>
      </c>
      <c r="P207">
        <v>29488.2</v>
      </c>
      <c r="Q207">
        <v>24</v>
      </c>
      <c r="R207">
        <v>362</v>
      </c>
      <c r="S207">
        <v>9033.39</v>
      </c>
      <c r="T207" t="s">
        <v>45</v>
      </c>
    </row>
    <row r="208" spans="1:20" x14ac:dyDescent="0.35">
      <c r="A208" t="s">
        <v>841</v>
      </c>
      <c r="B208" t="s">
        <v>842</v>
      </c>
      <c r="C208" t="s">
        <v>843</v>
      </c>
      <c r="D208">
        <v>44736</v>
      </c>
      <c r="E208" t="s">
        <v>34</v>
      </c>
      <c r="F208">
        <v>9301.32</v>
      </c>
      <c r="G208">
        <v>42273.95</v>
      </c>
      <c r="H208" t="s">
        <v>35</v>
      </c>
      <c r="I208">
        <v>38</v>
      </c>
      <c r="J208" t="s">
        <v>25</v>
      </c>
      <c r="K208" t="s">
        <v>36</v>
      </c>
      <c r="L208" t="s">
        <v>844</v>
      </c>
      <c r="M208" t="s">
        <v>52</v>
      </c>
      <c r="N208" t="s">
        <v>62</v>
      </c>
      <c r="O208">
        <v>2.93</v>
      </c>
      <c r="R208">
        <v>525</v>
      </c>
      <c r="S208">
        <v>14054.45</v>
      </c>
      <c r="T208" t="s">
        <v>45</v>
      </c>
    </row>
    <row r="209" spans="1:20" x14ac:dyDescent="0.35">
      <c r="A209" t="s">
        <v>845</v>
      </c>
      <c r="B209" t="s">
        <v>846</v>
      </c>
      <c r="C209" t="s">
        <v>847</v>
      </c>
      <c r="D209">
        <v>44752</v>
      </c>
      <c r="E209" t="s">
        <v>34</v>
      </c>
      <c r="F209">
        <v>1735.52</v>
      </c>
      <c r="G209">
        <v>19288.82</v>
      </c>
      <c r="H209" t="s">
        <v>24</v>
      </c>
      <c r="I209">
        <v>37</v>
      </c>
      <c r="J209" t="s">
        <v>25</v>
      </c>
      <c r="K209" t="s">
        <v>36</v>
      </c>
      <c r="L209" t="s">
        <v>848</v>
      </c>
      <c r="M209" t="s">
        <v>52</v>
      </c>
      <c r="N209" t="s">
        <v>44</v>
      </c>
      <c r="O209">
        <v>1.63</v>
      </c>
      <c r="P209">
        <v>16294.39</v>
      </c>
      <c r="R209">
        <v>722</v>
      </c>
      <c r="S209">
        <v>14114.73</v>
      </c>
      <c r="T209" t="s">
        <v>63</v>
      </c>
    </row>
    <row r="210" spans="1:20" x14ac:dyDescent="0.35">
      <c r="A210" t="s">
        <v>849</v>
      </c>
      <c r="B210" t="s">
        <v>850</v>
      </c>
      <c r="C210" t="s">
        <v>851</v>
      </c>
      <c r="D210">
        <v>44833</v>
      </c>
      <c r="E210" t="s">
        <v>71</v>
      </c>
      <c r="F210">
        <v>3959.74</v>
      </c>
      <c r="G210">
        <v>31967.45</v>
      </c>
      <c r="H210" t="s">
        <v>49</v>
      </c>
      <c r="I210">
        <v>65</v>
      </c>
      <c r="J210" t="s">
        <v>25</v>
      </c>
      <c r="K210" t="s">
        <v>26</v>
      </c>
      <c r="L210" t="s">
        <v>852</v>
      </c>
      <c r="M210" t="s">
        <v>28</v>
      </c>
      <c r="N210" t="s">
        <v>44</v>
      </c>
      <c r="O210">
        <v>4.0599999999999996</v>
      </c>
      <c r="P210">
        <v>38231.78</v>
      </c>
      <c r="Q210">
        <v>2</v>
      </c>
      <c r="R210">
        <v>318</v>
      </c>
      <c r="S210">
        <v>8665.4</v>
      </c>
      <c r="T210" t="s">
        <v>30</v>
      </c>
    </row>
    <row r="211" spans="1:20" x14ac:dyDescent="0.35">
      <c r="A211" t="s">
        <v>853</v>
      </c>
      <c r="B211" t="s">
        <v>854</v>
      </c>
      <c r="C211" t="s">
        <v>855</v>
      </c>
      <c r="D211">
        <v>44926</v>
      </c>
      <c r="E211" t="s">
        <v>34</v>
      </c>
      <c r="F211">
        <v>7325.62</v>
      </c>
      <c r="G211">
        <v>5673.21</v>
      </c>
      <c r="H211" t="s">
        <v>24</v>
      </c>
      <c r="I211">
        <v>25</v>
      </c>
      <c r="J211" t="s">
        <v>25</v>
      </c>
      <c r="K211" t="s">
        <v>26</v>
      </c>
      <c r="L211" t="s">
        <v>856</v>
      </c>
      <c r="M211" t="s">
        <v>52</v>
      </c>
      <c r="N211" t="s">
        <v>62</v>
      </c>
      <c r="O211">
        <v>2.97</v>
      </c>
      <c r="R211">
        <v>330</v>
      </c>
      <c r="S211">
        <v>5974.87</v>
      </c>
      <c r="T211" t="s">
        <v>30</v>
      </c>
    </row>
    <row r="212" spans="1:20" x14ac:dyDescent="0.35">
      <c r="A212" t="s">
        <v>857</v>
      </c>
      <c r="B212" t="s">
        <v>858</v>
      </c>
      <c r="C212" t="s">
        <v>859</v>
      </c>
      <c r="D212">
        <v>45062</v>
      </c>
      <c r="E212" t="s">
        <v>34</v>
      </c>
      <c r="F212">
        <v>8834.36</v>
      </c>
      <c r="G212">
        <v>6080.25</v>
      </c>
      <c r="H212" t="s">
        <v>100</v>
      </c>
      <c r="I212">
        <v>53</v>
      </c>
      <c r="J212" t="s">
        <v>25</v>
      </c>
      <c r="K212" t="s">
        <v>26</v>
      </c>
      <c r="L212" t="s">
        <v>860</v>
      </c>
      <c r="M212" t="s">
        <v>38</v>
      </c>
      <c r="N212" t="s">
        <v>29</v>
      </c>
      <c r="O212">
        <v>2.36</v>
      </c>
      <c r="Q212">
        <v>4</v>
      </c>
      <c r="R212">
        <v>323</v>
      </c>
      <c r="S212">
        <v>7974.63</v>
      </c>
      <c r="T212" t="s">
        <v>45</v>
      </c>
    </row>
    <row r="213" spans="1:20" x14ac:dyDescent="0.35">
      <c r="A213" t="s">
        <v>861</v>
      </c>
      <c r="B213" t="s">
        <v>862</v>
      </c>
      <c r="C213" t="s">
        <v>863</v>
      </c>
      <c r="D213">
        <v>44864</v>
      </c>
      <c r="E213" t="s">
        <v>56</v>
      </c>
      <c r="F213">
        <v>6742.34</v>
      </c>
      <c r="G213">
        <v>3384.23</v>
      </c>
      <c r="H213" t="s">
        <v>24</v>
      </c>
      <c r="I213">
        <v>46</v>
      </c>
      <c r="J213" t="s">
        <v>25</v>
      </c>
      <c r="K213" t="s">
        <v>26</v>
      </c>
      <c r="L213" t="s">
        <v>864</v>
      </c>
      <c r="M213" t="s">
        <v>38</v>
      </c>
      <c r="N213" t="s">
        <v>29</v>
      </c>
      <c r="O213">
        <v>1.59</v>
      </c>
      <c r="Q213">
        <v>3</v>
      </c>
      <c r="R213">
        <v>510</v>
      </c>
      <c r="S213">
        <v>4425.25</v>
      </c>
      <c r="T213" t="s">
        <v>63</v>
      </c>
    </row>
    <row r="214" spans="1:20" x14ac:dyDescent="0.35">
      <c r="A214" t="s">
        <v>865</v>
      </c>
      <c r="B214" t="s">
        <v>866</v>
      </c>
      <c r="C214" t="s">
        <v>867</v>
      </c>
      <c r="D214">
        <v>44997</v>
      </c>
      <c r="E214" t="s">
        <v>34</v>
      </c>
      <c r="F214">
        <v>2655.92</v>
      </c>
      <c r="G214">
        <v>29469.74</v>
      </c>
      <c r="H214" t="s">
        <v>125</v>
      </c>
      <c r="I214">
        <v>59</v>
      </c>
      <c r="J214" t="s">
        <v>25</v>
      </c>
      <c r="K214" t="s">
        <v>36</v>
      </c>
      <c r="L214" t="s">
        <v>792</v>
      </c>
      <c r="M214" t="s">
        <v>28</v>
      </c>
      <c r="N214" t="s">
        <v>62</v>
      </c>
      <c r="O214">
        <v>3.21</v>
      </c>
      <c r="P214">
        <v>8493.43</v>
      </c>
      <c r="Q214">
        <v>17</v>
      </c>
      <c r="R214">
        <v>460</v>
      </c>
      <c r="S214">
        <v>10272.48</v>
      </c>
      <c r="T214" t="s">
        <v>45</v>
      </c>
    </row>
    <row r="215" spans="1:20" x14ac:dyDescent="0.35">
      <c r="A215" t="s">
        <v>868</v>
      </c>
      <c r="B215" t="s">
        <v>869</v>
      </c>
      <c r="C215" t="s">
        <v>870</v>
      </c>
      <c r="D215">
        <v>44994</v>
      </c>
      <c r="E215" t="s">
        <v>71</v>
      </c>
      <c r="F215">
        <v>6778.62</v>
      </c>
      <c r="G215">
        <v>21877.48</v>
      </c>
      <c r="H215" t="s">
        <v>49</v>
      </c>
      <c r="I215">
        <v>29</v>
      </c>
      <c r="J215" t="s">
        <v>42</v>
      </c>
      <c r="K215" t="s">
        <v>50</v>
      </c>
      <c r="L215" t="s">
        <v>871</v>
      </c>
      <c r="M215" t="s">
        <v>28</v>
      </c>
      <c r="N215" t="s">
        <v>29</v>
      </c>
      <c r="O215">
        <v>4.01</v>
      </c>
      <c r="P215">
        <v>37105.79</v>
      </c>
      <c r="R215">
        <v>554</v>
      </c>
      <c r="S215">
        <v>8501.2000000000007</v>
      </c>
      <c r="T215" t="s">
        <v>30</v>
      </c>
    </row>
    <row r="216" spans="1:20" x14ac:dyDescent="0.35">
      <c r="A216" t="s">
        <v>872</v>
      </c>
      <c r="B216" t="s">
        <v>873</v>
      </c>
      <c r="C216" t="s">
        <v>874</v>
      </c>
      <c r="D216">
        <v>44965</v>
      </c>
      <c r="E216" t="s">
        <v>56</v>
      </c>
      <c r="F216">
        <v>3037.6</v>
      </c>
      <c r="G216">
        <v>27853.59</v>
      </c>
      <c r="H216" t="s">
        <v>24</v>
      </c>
      <c r="I216">
        <v>31</v>
      </c>
      <c r="J216" t="s">
        <v>25</v>
      </c>
      <c r="K216" t="s">
        <v>26</v>
      </c>
      <c r="L216" t="s">
        <v>292</v>
      </c>
      <c r="M216" t="s">
        <v>28</v>
      </c>
      <c r="N216" t="s">
        <v>29</v>
      </c>
      <c r="O216">
        <v>2.13</v>
      </c>
      <c r="P216">
        <v>5160.99</v>
      </c>
      <c r="R216">
        <v>413</v>
      </c>
      <c r="S216">
        <v>3342.91</v>
      </c>
      <c r="T216" t="s">
        <v>30</v>
      </c>
    </row>
    <row r="217" spans="1:20" x14ac:dyDescent="0.35">
      <c r="A217" t="s">
        <v>875</v>
      </c>
      <c r="B217" t="s">
        <v>775</v>
      </c>
      <c r="C217" t="s">
        <v>876</v>
      </c>
      <c r="D217">
        <v>44677</v>
      </c>
      <c r="E217" t="s">
        <v>23</v>
      </c>
      <c r="F217">
        <v>7212.45</v>
      </c>
      <c r="G217">
        <v>26532.59</v>
      </c>
      <c r="H217" t="s">
        <v>100</v>
      </c>
      <c r="I217">
        <v>65</v>
      </c>
      <c r="J217" t="s">
        <v>42</v>
      </c>
      <c r="K217" t="s">
        <v>26</v>
      </c>
      <c r="L217" t="s">
        <v>877</v>
      </c>
      <c r="M217" t="s">
        <v>52</v>
      </c>
      <c r="N217" t="s">
        <v>44</v>
      </c>
      <c r="O217">
        <v>1.88</v>
      </c>
      <c r="Q217">
        <v>2</v>
      </c>
      <c r="R217">
        <v>803</v>
      </c>
      <c r="S217">
        <v>4569.42</v>
      </c>
      <c r="T217" t="s">
        <v>45</v>
      </c>
    </row>
    <row r="218" spans="1:20" x14ac:dyDescent="0.35">
      <c r="A218" t="s">
        <v>878</v>
      </c>
      <c r="B218" t="s">
        <v>879</v>
      </c>
      <c r="C218" t="s">
        <v>880</v>
      </c>
      <c r="D218">
        <v>44607</v>
      </c>
      <c r="E218" t="s">
        <v>56</v>
      </c>
      <c r="F218">
        <v>9544.93</v>
      </c>
      <c r="G218">
        <v>18159.95</v>
      </c>
      <c r="H218" t="s">
        <v>49</v>
      </c>
      <c r="I218">
        <v>67</v>
      </c>
      <c r="J218" t="s">
        <v>25</v>
      </c>
      <c r="K218" t="s">
        <v>36</v>
      </c>
      <c r="L218" t="s">
        <v>570</v>
      </c>
      <c r="M218" t="s">
        <v>38</v>
      </c>
      <c r="N218" t="s">
        <v>44</v>
      </c>
      <c r="O218">
        <v>3.09</v>
      </c>
      <c r="P218">
        <v>5195.4799999999996</v>
      </c>
      <c r="R218">
        <v>519</v>
      </c>
      <c r="S218">
        <v>8235.2199999999993</v>
      </c>
      <c r="T218" t="s">
        <v>30</v>
      </c>
    </row>
    <row r="219" spans="1:20" x14ac:dyDescent="0.35">
      <c r="A219" t="s">
        <v>881</v>
      </c>
      <c r="B219" t="s">
        <v>882</v>
      </c>
      <c r="C219" t="s">
        <v>883</v>
      </c>
      <c r="D219">
        <v>44981</v>
      </c>
      <c r="E219" t="s">
        <v>71</v>
      </c>
      <c r="F219">
        <v>7241.8</v>
      </c>
      <c r="G219">
        <v>34196.199999999997</v>
      </c>
      <c r="H219" t="s">
        <v>100</v>
      </c>
      <c r="I219">
        <v>38</v>
      </c>
      <c r="J219" t="s">
        <v>25</v>
      </c>
      <c r="K219" t="s">
        <v>36</v>
      </c>
      <c r="L219" t="s">
        <v>105</v>
      </c>
      <c r="M219" t="s">
        <v>38</v>
      </c>
      <c r="N219" t="s">
        <v>44</v>
      </c>
      <c r="O219">
        <v>1.62</v>
      </c>
      <c r="P219">
        <v>34039.379999999997</v>
      </c>
      <c r="R219">
        <v>656</v>
      </c>
      <c r="S219">
        <v>13538.66</v>
      </c>
      <c r="T219" t="s">
        <v>63</v>
      </c>
    </row>
    <row r="220" spans="1:20" x14ac:dyDescent="0.35">
      <c r="A220" t="s">
        <v>884</v>
      </c>
      <c r="B220" t="s">
        <v>885</v>
      </c>
      <c r="C220" t="s">
        <v>886</v>
      </c>
      <c r="D220">
        <v>44973</v>
      </c>
      <c r="E220" t="s">
        <v>56</v>
      </c>
      <c r="F220">
        <v>8642.52</v>
      </c>
      <c r="G220">
        <v>38166.589999999997</v>
      </c>
      <c r="H220" t="s">
        <v>35</v>
      </c>
      <c r="I220">
        <v>39</v>
      </c>
      <c r="J220" t="s">
        <v>25</v>
      </c>
      <c r="K220" t="s">
        <v>50</v>
      </c>
      <c r="L220" t="s">
        <v>887</v>
      </c>
      <c r="M220" t="s">
        <v>38</v>
      </c>
      <c r="N220" t="s">
        <v>62</v>
      </c>
      <c r="O220">
        <v>3.67</v>
      </c>
      <c r="P220">
        <v>23782.42</v>
      </c>
      <c r="R220">
        <v>468</v>
      </c>
      <c r="S220">
        <v>9363.08</v>
      </c>
      <c r="T220" t="s">
        <v>45</v>
      </c>
    </row>
    <row r="221" spans="1:20" x14ac:dyDescent="0.35">
      <c r="A221" t="s">
        <v>888</v>
      </c>
      <c r="B221" t="s">
        <v>889</v>
      </c>
      <c r="C221" t="s">
        <v>890</v>
      </c>
      <c r="D221">
        <v>44776</v>
      </c>
      <c r="E221" t="s">
        <v>56</v>
      </c>
      <c r="F221">
        <v>120.83</v>
      </c>
      <c r="G221">
        <v>1716.78</v>
      </c>
      <c r="H221" t="s">
        <v>125</v>
      </c>
      <c r="I221">
        <v>38</v>
      </c>
      <c r="J221" t="s">
        <v>25</v>
      </c>
      <c r="K221" t="s">
        <v>50</v>
      </c>
      <c r="L221" t="s">
        <v>485</v>
      </c>
      <c r="M221" t="s">
        <v>28</v>
      </c>
      <c r="N221" t="s">
        <v>29</v>
      </c>
      <c r="O221">
        <v>3.42</v>
      </c>
      <c r="P221">
        <v>18389.599999999999</v>
      </c>
      <c r="Q221">
        <v>13</v>
      </c>
      <c r="R221">
        <v>823</v>
      </c>
      <c r="S221">
        <v>10859.96</v>
      </c>
      <c r="T221" t="s">
        <v>45</v>
      </c>
    </row>
    <row r="222" spans="1:20" x14ac:dyDescent="0.35">
      <c r="A222" t="s">
        <v>891</v>
      </c>
      <c r="B222" t="s">
        <v>892</v>
      </c>
      <c r="C222" t="s">
        <v>893</v>
      </c>
      <c r="D222">
        <v>44713</v>
      </c>
      <c r="E222" t="s">
        <v>71</v>
      </c>
      <c r="F222">
        <v>7203.96</v>
      </c>
      <c r="G222">
        <v>11154.87</v>
      </c>
      <c r="H222" t="s">
        <v>35</v>
      </c>
      <c r="I222">
        <v>61</v>
      </c>
      <c r="J222" t="s">
        <v>42</v>
      </c>
      <c r="K222" t="s">
        <v>36</v>
      </c>
      <c r="L222" t="s">
        <v>894</v>
      </c>
      <c r="M222" t="s">
        <v>38</v>
      </c>
      <c r="N222" t="s">
        <v>29</v>
      </c>
      <c r="O222">
        <v>1.35</v>
      </c>
      <c r="Q222">
        <v>1</v>
      </c>
      <c r="R222">
        <v>541</v>
      </c>
      <c r="S222">
        <v>6407.37</v>
      </c>
      <c r="T222" t="s">
        <v>45</v>
      </c>
    </row>
    <row r="223" spans="1:20" x14ac:dyDescent="0.35">
      <c r="A223" t="s">
        <v>895</v>
      </c>
      <c r="B223" t="s">
        <v>896</v>
      </c>
      <c r="C223" t="s">
        <v>897</v>
      </c>
      <c r="D223">
        <v>45018</v>
      </c>
      <c r="E223" t="s">
        <v>56</v>
      </c>
      <c r="F223">
        <v>8312.92</v>
      </c>
      <c r="G223">
        <v>35948.559999999998</v>
      </c>
      <c r="H223" t="s">
        <v>125</v>
      </c>
      <c r="I223">
        <v>67</v>
      </c>
      <c r="J223" t="s">
        <v>42</v>
      </c>
      <c r="K223" t="s">
        <v>26</v>
      </c>
      <c r="L223" t="s">
        <v>898</v>
      </c>
      <c r="M223" t="s">
        <v>52</v>
      </c>
      <c r="N223" t="s">
        <v>44</v>
      </c>
      <c r="O223">
        <v>1.1499999999999999</v>
      </c>
      <c r="R223">
        <v>674</v>
      </c>
      <c r="S223">
        <v>9428.35</v>
      </c>
      <c r="T223" t="s">
        <v>30</v>
      </c>
    </row>
    <row r="224" spans="1:20" x14ac:dyDescent="0.35">
      <c r="A224" t="s">
        <v>899</v>
      </c>
      <c r="B224" t="s">
        <v>900</v>
      </c>
      <c r="C224" t="s">
        <v>901</v>
      </c>
      <c r="D224">
        <v>44657</v>
      </c>
      <c r="E224" t="s">
        <v>71</v>
      </c>
      <c r="F224">
        <v>501.53</v>
      </c>
      <c r="G224">
        <v>19944.39</v>
      </c>
      <c r="H224" t="s">
        <v>24</v>
      </c>
      <c r="I224">
        <v>47</v>
      </c>
      <c r="J224" t="s">
        <v>42</v>
      </c>
      <c r="K224" t="s">
        <v>26</v>
      </c>
      <c r="L224" t="s">
        <v>902</v>
      </c>
      <c r="M224" t="s">
        <v>52</v>
      </c>
      <c r="N224" t="s">
        <v>44</v>
      </c>
      <c r="O224">
        <v>3.48</v>
      </c>
      <c r="Q224">
        <v>23</v>
      </c>
      <c r="R224">
        <v>438</v>
      </c>
      <c r="S224">
        <v>7815.94</v>
      </c>
      <c r="T224" t="s">
        <v>63</v>
      </c>
    </row>
    <row r="225" spans="1:20" x14ac:dyDescent="0.35">
      <c r="A225" t="s">
        <v>903</v>
      </c>
      <c r="B225" t="s">
        <v>904</v>
      </c>
      <c r="C225" t="s">
        <v>905</v>
      </c>
      <c r="D225">
        <v>44749</v>
      </c>
      <c r="E225" t="s">
        <v>71</v>
      </c>
      <c r="F225">
        <v>8728.82</v>
      </c>
      <c r="G225">
        <v>33461.71</v>
      </c>
      <c r="H225" t="s">
        <v>49</v>
      </c>
      <c r="I225">
        <v>56</v>
      </c>
      <c r="J225" t="s">
        <v>25</v>
      </c>
      <c r="K225" t="s">
        <v>26</v>
      </c>
      <c r="L225" t="s">
        <v>906</v>
      </c>
      <c r="M225" t="s">
        <v>38</v>
      </c>
      <c r="N225" t="s">
        <v>62</v>
      </c>
      <c r="O225">
        <v>2.1800000000000002</v>
      </c>
      <c r="P225">
        <v>47314.03</v>
      </c>
      <c r="R225">
        <v>396</v>
      </c>
      <c r="S225">
        <v>10568.69</v>
      </c>
      <c r="T225" t="s">
        <v>45</v>
      </c>
    </row>
    <row r="226" spans="1:20" x14ac:dyDescent="0.35">
      <c r="A226" t="s">
        <v>907</v>
      </c>
      <c r="B226" t="s">
        <v>908</v>
      </c>
      <c r="C226" t="s">
        <v>909</v>
      </c>
      <c r="D226">
        <v>44748</v>
      </c>
      <c r="E226" t="s">
        <v>23</v>
      </c>
      <c r="F226">
        <v>2641.27</v>
      </c>
      <c r="G226">
        <v>18001.169999999998</v>
      </c>
      <c r="H226" t="s">
        <v>24</v>
      </c>
      <c r="I226">
        <v>37</v>
      </c>
      <c r="J226" t="s">
        <v>25</v>
      </c>
      <c r="K226" t="s">
        <v>50</v>
      </c>
      <c r="L226" t="s">
        <v>910</v>
      </c>
      <c r="M226" t="s">
        <v>28</v>
      </c>
      <c r="N226" t="s">
        <v>29</v>
      </c>
      <c r="O226">
        <v>1.35</v>
      </c>
      <c r="P226">
        <v>24219.8</v>
      </c>
      <c r="R226">
        <v>446</v>
      </c>
      <c r="S226">
        <v>2657.48</v>
      </c>
      <c r="T226" t="s">
        <v>45</v>
      </c>
    </row>
    <row r="227" spans="1:20" x14ac:dyDescent="0.35">
      <c r="A227" t="s">
        <v>911</v>
      </c>
      <c r="B227" t="s">
        <v>912</v>
      </c>
      <c r="C227" t="s">
        <v>913</v>
      </c>
      <c r="D227">
        <v>44702</v>
      </c>
      <c r="E227" t="s">
        <v>34</v>
      </c>
      <c r="F227">
        <v>6686.39</v>
      </c>
      <c r="G227">
        <v>20147</v>
      </c>
      <c r="H227" t="s">
        <v>125</v>
      </c>
      <c r="I227">
        <v>41</v>
      </c>
      <c r="J227" t="s">
        <v>25</v>
      </c>
      <c r="K227" t="s">
        <v>26</v>
      </c>
      <c r="L227" t="s">
        <v>493</v>
      </c>
      <c r="M227" t="s">
        <v>38</v>
      </c>
      <c r="N227" t="s">
        <v>62</v>
      </c>
      <c r="O227">
        <v>4.04</v>
      </c>
      <c r="P227">
        <v>29961.22</v>
      </c>
      <c r="R227">
        <v>481</v>
      </c>
      <c r="S227">
        <v>8412.9</v>
      </c>
      <c r="T227" t="s">
        <v>30</v>
      </c>
    </row>
    <row r="228" spans="1:20" x14ac:dyDescent="0.35">
      <c r="A228" t="s">
        <v>914</v>
      </c>
      <c r="B228" t="s">
        <v>915</v>
      </c>
      <c r="C228" t="s">
        <v>916</v>
      </c>
      <c r="D228">
        <v>44789</v>
      </c>
      <c r="E228" t="s">
        <v>34</v>
      </c>
      <c r="F228">
        <v>8023.51</v>
      </c>
      <c r="G228">
        <v>8775.26</v>
      </c>
      <c r="H228" t="s">
        <v>125</v>
      </c>
      <c r="I228">
        <v>40</v>
      </c>
      <c r="J228" t="s">
        <v>42</v>
      </c>
      <c r="K228" t="s">
        <v>26</v>
      </c>
      <c r="L228" t="s">
        <v>917</v>
      </c>
      <c r="M228" t="s">
        <v>52</v>
      </c>
      <c r="N228" t="s">
        <v>29</v>
      </c>
      <c r="O228">
        <v>2.2599999999999998</v>
      </c>
      <c r="Q228">
        <v>29</v>
      </c>
      <c r="R228">
        <v>356</v>
      </c>
      <c r="S228">
        <v>5847.9</v>
      </c>
      <c r="T228" t="s">
        <v>63</v>
      </c>
    </row>
    <row r="229" spans="1:20" x14ac:dyDescent="0.35">
      <c r="A229" t="s">
        <v>918</v>
      </c>
      <c r="B229" t="s">
        <v>919</v>
      </c>
      <c r="C229" t="s">
        <v>920</v>
      </c>
      <c r="D229">
        <v>44690</v>
      </c>
      <c r="E229" t="s">
        <v>56</v>
      </c>
      <c r="F229">
        <v>6660.38</v>
      </c>
      <c r="G229">
        <v>13653.32</v>
      </c>
      <c r="H229" t="s">
        <v>125</v>
      </c>
      <c r="I229">
        <v>24</v>
      </c>
      <c r="J229" t="s">
        <v>25</v>
      </c>
      <c r="K229" t="s">
        <v>36</v>
      </c>
      <c r="L229" t="s">
        <v>921</v>
      </c>
      <c r="M229" t="s">
        <v>52</v>
      </c>
      <c r="N229" t="s">
        <v>62</v>
      </c>
      <c r="O229">
        <v>2.84</v>
      </c>
      <c r="Q229">
        <v>5</v>
      </c>
      <c r="R229">
        <v>341</v>
      </c>
      <c r="S229">
        <v>6240.41</v>
      </c>
      <c r="T229" t="s">
        <v>45</v>
      </c>
    </row>
    <row r="230" spans="1:20" x14ac:dyDescent="0.35">
      <c r="A230" t="s">
        <v>922</v>
      </c>
      <c r="B230" t="s">
        <v>923</v>
      </c>
      <c r="C230" t="s">
        <v>924</v>
      </c>
      <c r="D230">
        <v>44764</v>
      </c>
      <c r="E230" t="s">
        <v>56</v>
      </c>
      <c r="F230">
        <v>1013.62</v>
      </c>
      <c r="G230">
        <v>30665.18</v>
      </c>
      <c r="H230" t="s">
        <v>100</v>
      </c>
      <c r="I230">
        <v>26</v>
      </c>
      <c r="J230" t="s">
        <v>42</v>
      </c>
      <c r="K230" t="s">
        <v>26</v>
      </c>
      <c r="L230" t="s">
        <v>925</v>
      </c>
      <c r="M230" t="s">
        <v>52</v>
      </c>
      <c r="N230" t="s">
        <v>44</v>
      </c>
      <c r="O230">
        <v>1.95</v>
      </c>
      <c r="R230">
        <v>842</v>
      </c>
      <c r="S230">
        <v>14491.93</v>
      </c>
      <c r="T230" t="s">
        <v>30</v>
      </c>
    </row>
    <row r="231" spans="1:20" x14ac:dyDescent="0.35">
      <c r="A231" t="s">
        <v>926</v>
      </c>
      <c r="B231" t="s">
        <v>927</v>
      </c>
      <c r="C231" t="s">
        <v>928</v>
      </c>
      <c r="D231">
        <v>45054</v>
      </c>
      <c r="E231" t="s">
        <v>23</v>
      </c>
      <c r="F231">
        <v>6003.58</v>
      </c>
      <c r="G231">
        <v>22224.99</v>
      </c>
      <c r="H231" t="s">
        <v>49</v>
      </c>
      <c r="I231">
        <v>18</v>
      </c>
      <c r="J231" t="s">
        <v>42</v>
      </c>
      <c r="K231" t="s">
        <v>36</v>
      </c>
      <c r="L231" t="s">
        <v>929</v>
      </c>
      <c r="M231" t="s">
        <v>38</v>
      </c>
      <c r="N231" t="s">
        <v>62</v>
      </c>
      <c r="O231">
        <v>3.51</v>
      </c>
      <c r="Q231">
        <v>12</v>
      </c>
      <c r="R231">
        <v>301</v>
      </c>
      <c r="S231">
        <v>4375.03</v>
      </c>
      <c r="T231" t="s">
        <v>45</v>
      </c>
    </row>
    <row r="232" spans="1:20" x14ac:dyDescent="0.35">
      <c r="A232" t="s">
        <v>930</v>
      </c>
      <c r="B232" t="s">
        <v>931</v>
      </c>
      <c r="C232" t="s">
        <v>932</v>
      </c>
      <c r="D232">
        <v>45113</v>
      </c>
      <c r="E232" t="s">
        <v>23</v>
      </c>
      <c r="F232">
        <v>5540.88</v>
      </c>
      <c r="G232">
        <v>38940.83</v>
      </c>
      <c r="H232" t="s">
        <v>24</v>
      </c>
      <c r="I232">
        <v>43</v>
      </c>
      <c r="J232" t="s">
        <v>25</v>
      </c>
      <c r="K232" t="s">
        <v>26</v>
      </c>
      <c r="L232" t="s">
        <v>933</v>
      </c>
      <c r="M232" t="s">
        <v>52</v>
      </c>
      <c r="N232" t="s">
        <v>62</v>
      </c>
      <c r="O232">
        <v>2.21</v>
      </c>
      <c r="R232">
        <v>587</v>
      </c>
      <c r="S232">
        <v>6046.19</v>
      </c>
      <c r="T232" t="s">
        <v>30</v>
      </c>
    </row>
    <row r="233" spans="1:20" x14ac:dyDescent="0.35">
      <c r="A233" t="s">
        <v>934</v>
      </c>
      <c r="B233" t="s">
        <v>935</v>
      </c>
      <c r="C233" t="s">
        <v>936</v>
      </c>
      <c r="D233">
        <v>44966</v>
      </c>
      <c r="E233" t="s">
        <v>23</v>
      </c>
      <c r="F233">
        <v>9013.18</v>
      </c>
      <c r="G233">
        <v>42776.66</v>
      </c>
      <c r="H233" t="s">
        <v>24</v>
      </c>
      <c r="I233">
        <v>55</v>
      </c>
      <c r="J233" t="s">
        <v>25</v>
      </c>
      <c r="K233" t="s">
        <v>50</v>
      </c>
      <c r="L233" t="s">
        <v>937</v>
      </c>
      <c r="M233" t="s">
        <v>28</v>
      </c>
      <c r="N233" t="s">
        <v>44</v>
      </c>
      <c r="O233">
        <v>4.87</v>
      </c>
      <c r="P233">
        <v>24011.54</v>
      </c>
      <c r="Q233">
        <v>26</v>
      </c>
      <c r="R233">
        <v>437</v>
      </c>
      <c r="S233">
        <v>8628.6</v>
      </c>
      <c r="T233" t="s">
        <v>63</v>
      </c>
    </row>
    <row r="234" spans="1:20" x14ac:dyDescent="0.35">
      <c r="A234" t="s">
        <v>938</v>
      </c>
      <c r="B234" t="s">
        <v>939</v>
      </c>
      <c r="C234" t="s">
        <v>940</v>
      </c>
      <c r="D234">
        <v>44869</v>
      </c>
      <c r="E234" t="s">
        <v>71</v>
      </c>
      <c r="F234">
        <v>4101.97</v>
      </c>
      <c r="G234">
        <v>27540.67</v>
      </c>
      <c r="H234" t="s">
        <v>35</v>
      </c>
      <c r="I234">
        <v>55</v>
      </c>
      <c r="J234" t="s">
        <v>42</v>
      </c>
      <c r="K234" t="s">
        <v>26</v>
      </c>
      <c r="L234" t="s">
        <v>941</v>
      </c>
      <c r="M234" t="s">
        <v>38</v>
      </c>
      <c r="N234" t="s">
        <v>29</v>
      </c>
      <c r="O234">
        <v>3.81</v>
      </c>
      <c r="Q234">
        <v>29</v>
      </c>
      <c r="R234">
        <v>811</v>
      </c>
      <c r="S234">
        <v>13219.35</v>
      </c>
      <c r="T234" t="s">
        <v>30</v>
      </c>
    </row>
    <row r="235" spans="1:20" x14ac:dyDescent="0.35">
      <c r="A235" t="s">
        <v>942</v>
      </c>
      <c r="B235" t="s">
        <v>943</v>
      </c>
      <c r="C235" t="s">
        <v>944</v>
      </c>
      <c r="D235">
        <v>44778</v>
      </c>
      <c r="E235" t="s">
        <v>23</v>
      </c>
      <c r="F235">
        <v>3278.7</v>
      </c>
      <c r="G235">
        <v>38155.1</v>
      </c>
      <c r="H235" t="s">
        <v>125</v>
      </c>
      <c r="I235">
        <v>61</v>
      </c>
      <c r="J235" t="s">
        <v>42</v>
      </c>
      <c r="K235" t="s">
        <v>26</v>
      </c>
      <c r="L235" t="s">
        <v>945</v>
      </c>
      <c r="M235" t="s">
        <v>38</v>
      </c>
      <c r="N235" t="s">
        <v>29</v>
      </c>
      <c r="O235">
        <v>1.55</v>
      </c>
      <c r="Q235">
        <v>28</v>
      </c>
      <c r="R235">
        <v>521</v>
      </c>
      <c r="S235">
        <v>7416.71</v>
      </c>
      <c r="T235" t="s">
        <v>45</v>
      </c>
    </row>
    <row r="236" spans="1:20" x14ac:dyDescent="0.35">
      <c r="A236" t="s">
        <v>946</v>
      </c>
      <c r="B236" t="s">
        <v>584</v>
      </c>
      <c r="C236" t="s">
        <v>947</v>
      </c>
      <c r="D236">
        <v>44983</v>
      </c>
      <c r="E236" t="s">
        <v>23</v>
      </c>
      <c r="F236">
        <v>7523.52</v>
      </c>
      <c r="G236">
        <v>16038.32</v>
      </c>
      <c r="H236" t="s">
        <v>125</v>
      </c>
      <c r="I236">
        <v>39</v>
      </c>
      <c r="J236" t="s">
        <v>42</v>
      </c>
      <c r="K236" t="s">
        <v>36</v>
      </c>
      <c r="L236" t="s">
        <v>948</v>
      </c>
      <c r="M236" t="s">
        <v>52</v>
      </c>
      <c r="N236" t="s">
        <v>44</v>
      </c>
      <c r="O236">
        <v>2.67</v>
      </c>
      <c r="R236">
        <v>630</v>
      </c>
      <c r="S236">
        <v>11670.25</v>
      </c>
      <c r="T236" t="s">
        <v>45</v>
      </c>
    </row>
    <row r="237" spans="1:20" x14ac:dyDescent="0.35">
      <c r="A237" t="s">
        <v>949</v>
      </c>
      <c r="B237" t="s">
        <v>950</v>
      </c>
      <c r="C237" t="s">
        <v>951</v>
      </c>
      <c r="D237">
        <v>45023</v>
      </c>
      <c r="E237" t="s">
        <v>56</v>
      </c>
      <c r="F237">
        <v>4185.49</v>
      </c>
      <c r="G237">
        <v>21333.59</v>
      </c>
      <c r="H237" t="s">
        <v>125</v>
      </c>
      <c r="I237">
        <v>61</v>
      </c>
      <c r="J237" t="s">
        <v>25</v>
      </c>
      <c r="K237" t="s">
        <v>36</v>
      </c>
      <c r="L237" t="s">
        <v>113</v>
      </c>
      <c r="M237" t="s">
        <v>52</v>
      </c>
      <c r="N237" t="s">
        <v>62</v>
      </c>
      <c r="O237">
        <v>2.54</v>
      </c>
      <c r="P237">
        <v>41560.53</v>
      </c>
      <c r="R237">
        <v>703</v>
      </c>
      <c r="S237">
        <v>13132.86</v>
      </c>
      <c r="T237" t="s">
        <v>30</v>
      </c>
    </row>
    <row r="238" spans="1:20" x14ac:dyDescent="0.35">
      <c r="A238" t="s">
        <v>952</v>
      </c>
      <c r="B238" t="s">
        <v>953</v>
      </c>
      <c r="C238" t="s">
        <v>954</v>
      </c>
      <c r="D238">
        <v>44852</v>
      </c>
      <c r="E238" t="s">
        <v>23</v>
      </c>
      <c r="F238">
        <v>6496.35</v>
      </c>
      <c r="G238">
        <v>35926.11</v>
      </c>
      <c r="H238" t="s">
        <v>24</v>
      </c>
      <c r="I238">
        <v>27</v>
      </c>
      <c r="J238" t="s">
        <v>25</v>
      </c>
      <c r="K238" t="s">
        <v>36</v>
      </c>
      <c r="L238" t="s">
        <v>955</v>
      </c>
      <c r="M238" t="s">
        <v>28</v>
      </c>
      <c r="N238" t="s">
        <v>62</v>
      </c>
      <c r="O238">
        <v>3.14</v>
      </c>
      <c r="R238">
        <v>807</v>
      </c>
      <c r="S238">
        <v>6030.21</v>
      </c>
      <c r="T238" t="s">
        <v>63</v>
      </c>
    </row>
    <row r="239" spans="1:20" x14ac:dyDescent="0.35">
      <c r="A239" t="s">
        <v>956</v>
      </c>
      <c r="B239" t="s">
        <v>957</v>
      </c>
      <c r="C239" t="s">
        <v>958</v>
      </c>
      <c r="D239">
        <v>44727</v>
      </c>
      <c r="E239" t="s">
        <v>71</v>
      </c>
      <c r="F239">
        <v>6499.86</v>
      </c>
      <c r="G239">
        <v>19924.39</v>
      </c>
      <c r="H239" t="s">
        <v>35</v>
      </c>
      <c r="I239">
        <v>23</v>
      </c>
      <c r="J239" t="s">
        <v>25</v>
      </c>
      <c r="K239" t="s">
        <v>26</v>
      </c>
      <c r="L239" t="s">
        <v>959</v>
      </c>
      <c r="M239" t="s">
        <v>38</v>
      </c>
      <c r="N239" t="s">
        <v>62</v>
      </c>
      <c r="O239">
        <v>4.37</v>
      </c>
      <c r="Q239">
        <v>20</v>
      </c>
      <c r="R239">
        <v>426</v>
      </c>
      <c r="S239">
        <v>7105.75</v>
      </c>
      <c r="T239" t="s">
        <v>63</v>
      </c>
    </row>
    <row r="240" spans="1:20" x14ac:dyDescent="0.35">
      <c r="A240" t="s">
        <v>960</v>
      </c>
      <c r="B240" t="s">
        <v>961</v>
      </c>
      <c r="C240" t="s">
        <v>962</v>
      </c>
      <c r="D240">
        <v>44583</v>
      </c>
      <c r="E240" t="s">
        <v>71</v>
      </c>
      <c r="F240">
        <v>8891.59</v>
      </c>
      <c r="G240">
        <v>29836.74</v>
      </c>
      <c r="H240" t="s">
        <v>100</v>
      </c>
      <c r="I240">
        <v>34</v>
      </c>
      <c r="J240" t="s">
        <v>25</v>
      </c>
      <c r="K240" t="s">
        <v>26</v>
      </c>
      <c r="L240" t="s">
        <v>562</v>
      </c>
      <c r="M240" t="s">
        <v>52</v>
      </c>
      <c r="N240" t="s">
        <v>29</v>
      </c>
      <c r="O240">
        <v>3.33</v>
      </c>
      <c r="R240">
        <v>564</v>
      </c>
      <c r="S240">
        <v>6635.23</v>
      </c>
      <c r="T240" t="s">
        <v>45</v>
      </c>
    </row>
    <row r="241" spans="1:20" x14ac:dyDescent="0.35">
      <c r="A241" t="s">
        <v>963</v>
      </c>
      <c r="B241" t="s">
        <v>964</v>
      </c>
      <c r="C241" t="s">
        <v>965</v>
      </c>
      <c r="D241">
        <v>44641</v>
      </c>
      <c r="E241" t="s">
        <v>56</v>
      </c>
      <c r="F241">
        <v>6027.05</v>
      </c>
      <c r="G241">
        <v>10083.27</v>
      </c>
      <c r="H241" t="s">
        <v>49</v>
      </c>
      <c r="I241">
        <v>68</v>
      </c>
      <c r="J241" t="s">
        <v>25</v>
      </c>
      <c r="K241" t="s">
        <v>50</v>
      </c>
      <c r="L241" t="s">
        <v>966</v>
      </c>
      <c r="M241" t="s">
        <v>28</v>
      </c>
      <c r="N241" t="s">
        <v>62</v>
      </c>
      <c r="O241">
        <v>1.25</v>
      </c>
      <c r="P241">
        <v>32605.05</v>
      </c>
      <c r="R241">
        <v>314</v>
      </c>
      <c r="S241">
        <v>12827.13</v>
      </c>
      <c r="T241" t="s">
        <v>45</v>
      </c>
    </row>
    <row r="242" spans="1:20" x14ac:dyDescent="0.35">
      <c r="A242" t="s">
        <v>967</v>
      </c>
      <c r="B242" t="s">
        <v>968</v>
      </c>
      <c r="C242" t="s">
        <v>969</v>
      </c>
      <c r="D242">
        <v>44605</v>
      </c>
      <c r="E242" t="s">
        <v>23</v>
      </c>
      <c r="F242">
        <v>5071.32</v>
      </c>
      <c r="G242">
        <v>30388.79</v>
      </c>
      <c r="H242" t="s">
        <v>100</v>
      </c>
      <c r="I242">
        <v>67</v>
      </c>
      <c r="J242" t="s">
        <v>25</v>
      </c>
      <c r="K242" t="s">
        <v>26</v>
      </c>
      <c r="L242" t="s">
        <v>970</v>
      </c>
      <c r="M242" t="s">
        <v>52</v>
      </c>
      <c r="N242" t="s">
        <v>29</v>
      </c>
      <c r="O242">
        <v>3.62</v>
      </c>
      <c r="P242">
        <v>20921.13</v>
      </c>
      <c r="R242">
        <v>525</v>
      </c>
      <c r="S242">
        <v>2576.5100000000002</v>
      </c>
      <c r="T242" t="s">
        <v>30</v>
      </c>
    </row>
    <row r="243" spans="1:20" x14ac:dyDescent="0.35">
      <c r="A243" t="s">
        <v>971</v>
      </c>
      <c r="B243" t="s">
        <v>972</v>
      </c>
      <c r="C243" t="s">
        <v>973</v>
      </c>
      <c r="D243">
        <v>44899</v>
      </c>
      <c r="E243" t="s">
        <v>23</v>
      </c>
      <c r="F243">
        <v>1474.83</v>
      </c>
      <c r="G243">
        <v>43214.17</v>
      </c>
      <c r="H243" t="s">
        <v>24</v>
      </c>
      <c r="I243">
        <v>55</v>
      </c>
      <c r="J243" t="s">
        <v>42</v>
      </c>
      <c r="K243" t="s">
        <v>50</v>
      </c>
      <c r="L243" t="s">
        <v>974</v>
      </c>
      <c r="M243" t="s">
        <v>38</v>
      </c>
      <c r="N243" t="s">
        <v>62</v>
      </c>
      <c r="O243">
        <v>1.03</v>
      </c>
      <c r="R243">
        <v>404</v>
      </c>
      <c r="S243">
        <v>6009.47</v>
      </c>
      <c r="T243" t="s">
        <v>30</v>
      </c>
    </row>
    <row r="244" spans="1:20" x14ac:dyDescent="0.35">
      <c r="A244" t="s">
        <v>975</v>
      </c>
      <c r="B244" t="s">
        <v>976</v>
      </c>
      <c r="C244" t="s">
        <v>977</v>
      </c>
      <c r="D244">
        <v>44729</v>
      </c>
      <c r="E244" t="s">
        <v>71</v>
      </c>
      <c r="F244">
        <v>1245.8</v>
      </c>
      <c r="G244">
        <v>43563.34</v>
      </c>
      <c r="H244" t="s">
        <v>125</v>
      </c>
      <c r="I244">
        <v>41</v>
      </c>
      <c r="J244" t="s">
        <v>42</v>
      </c>
      <c r="K244" t="s">
        <v>36</v>
      </c>
      <c r="L244" t="s">
        <v>630</v>
      </c>
      <c r="M244" t="s">
        <v>52</v>
      </c>
      <c r="N244" t="s">
        <v>44</v>
      </c>
      <c r="O244">
        <v>4.12</v>
      </c>
      <c r="Q244">
        <v>27</v>
      </c>
      <c r="R244">
        <v>792</v>
      </c>
      <c r="S244">
        <v>10832.31</v>
      </c>
      <c r="T244" t="s">
        <v>30</v>
      </c>
    </row>
    <row r="245" spans="1:20" x14ac:dyDescent="0.35">
      <c r="A245" t="s">
        <v>978</v>
      </c>
      <c r="B245" t="s">
        <v>979</v>
      </c>
      <c r="C245" t="s">
        <v>980</v>
      </c>
      <c r="D245">
        <v>45052</v>
      </c>
      <c r="E245" t="s">
        <v>23</v>
      </c>
      <c r="F245">
        <v>1627.78</v>
      </c>
      <c r="G245">
        <v>36492.879999999997</v>
      </c>
      <c r="H245" t="s">
        <v>49</v>
      </c>
      <c r="I245">
        <v>68</v>
      </c>
      <c r="J245" t="s">
        <v>42</v>
      </c>
      <c r="K245" t="s">
        <v>36</v>
      </c>
      <c r="L245" t="s">
        <v>981</v>
      </c>
      <c r="M245" t="s">
        <v>38</v>
      </c>
      <c r="N245" t="s">
        <v>44</v>
      </c>
      <c r="O245">
        <v>3.67</v>
      </c>
      <c r="Q245">
        <v>27</v>
      </c>
      <c r="R245">
        <v>618</v>
      </c>
      <c r="S245">
        <v>9350.77</v>
      </c>
      <c r="T245" t="s">
        <v>63</v>
      </c>
    </row>
    <row r="246" spans="1:20" x14ac:dyDescent="0.35">
      <c r="A246" t="s">
        <v>982</v>
      </c>
      <c r="B246" t="s">
        <v>983</v>
      </c>
      <c r="C246" t="s">
        <v>984</v>
      </c>
      <c r="D246">
        <v>44593</v>
      </c>
      <c r="E246" t="s">
        <v>23</v>
      </c>
      <c r="F246">
        <v>1801.3</v>
      </c>
      <c r="G246">
        <v>37541.919999999998</v>
      </c>
      <c r="H246" t="s">
        <v>24</v>
      </c>
      <c r="I246">
        <v>27</v>
      </c>
      <c r="J246" t="s">
        <v>25</v>
      </c>
      <c r="K246" t="s">
        <v>36</v>
      </c>
      <c r="L246" t="s">
        <v>312</v>
      </c>
      <c r="M246" t="s">
        <v>52</v>
      </c>
      <c r="N246" t="s">
        <v>29</v>
      </c>
      <c r="O246">
        <v>2.2400000000000002</v>
      </c>
      <c r="R246">
        <v>518</v>
      </c>
      <c r="S246">
        <v>7671.76</v>
      </c>
      <c r="T246" t="s">
        <v>63</v>
      </c>
    </row>
    <row r="247" spans="1:20" x14ac:dyDescent="0.35">
      <c r="A247" t="s">
        <v>985</v>
      </c>
      <c r="B247" t="s">
        <v>986</v>
      </c>
      <c r="C247" t="s">
        <v>987</v>
      </c>
      <c r="D247">
        <v>44730</v>
      </c>
      <c r="E247" t="s">
        <v>23</v>
      </c>
      <c r="F247">
        <v>6414.98</v>
      </c>
      <c r="G247">
        <v>28338.44</v>
      </c>
      <c r="H247" t="s">
        <v>24</v>
      </c>
      <c r="I247">
        <v>25</v>
      </c>
      <c r="J247" t="s">
        <v>42</v>
      </c>
      <c r="K247" t="s">
        <v>50</v>
      </c>
      <c r="L247" t="s">
        <v>988</v>
      </c>
      <c r="M247" t="s">
        <v>38</v>
      </c>
      <c r="N247" t="s">
        <v>29</v>
      </c>
      <c r="O247">
        <v>2.17</v>
      </c>
      <c r="P247">
        <v>49922.48</v>
      </c>
      <c r="Q247">
        <v>1</v>
      </c>
      <c r="R247">
        <v>576</v>
      </c>
      <c r="S247">
        <v>9019.33</v>
      </c>
      <c r="T247" t="s">
        <v>45</v>
      </c>
    </row>
    <row r="248" spans="1:20" x14ac:dyDescent="0.35">
      <c r="A248" t="s">
        <v>989</v>
      </c>
      <c r="B248" t="s">
        <v>990</v>
      </c>
      <c r="C248" t="s">
        <v>991</v>
      </c>
      <c r="D248">
        <v>44775</v>
      </c>
      <c r="E248" t="s">
        <v>34</v>
      </c>
      <c r="F248">
        <v>7435.71</v>
      </c>
      <c r="G248">
        <v>29648.74</v>
      </c>
      <c r="H248" t="s">
        <v>24</v>
      </c>
      <c r="I248">
        <v>38</v>
      </c>
      <c r="J248" t="s">
        <v>25</v>
      </c>
      <c r="K248" t="s">
        <v>26</v>
      </c>
      <c r="L248" t="s">
        <v>992</v>
      </c>
      <c r="M248" t="s">
        <v>28</v>
      </c>
      <c r="N248" t="s">
        <v>44</v>
      </c>
      <c r="O248">
        <v>4.1900000000000004</v>
      </c>
      <c r="Q248">
        <v>6</v>
      </c>
      <c r="R248">
        <v>640</v>
      </c>
      <c r="S248">
        <v>4568.6000000000004</v>
      </c>
      <c r="T248" t="s">
        <v>45</v>
      </c>
    </row>
    <row r="249" spans="1:20" x14ac:dyDescent="0.35">
      <c r="A249" t="s">
        <v>993</v>
      </c>
      <c r="B249" t="s">
        <v>994</v>
      </c>
      <c r="C249" t="s">
        <v>995</v>
      </c>
      <c r="D249">
        <v>44726</v>
      </c>
      <c r="E249" t="s">
        <v>56</v>
      </c>
      <c r="F249">
        <v>5346.92</v>
      </c>
      <c r="G249">
        <v>7548.88</v>
      </c>
      <c r="H249" t="s">
        <v>49</v>
      </c>
      <c r="I249">
        <v>23</v>
      </c>
      <c r="J249" t="s">
        <v>25</v>
      </c>
      <c r="K249" t="s">
        <v>36</v>
      </c>
      <c r="L249" t="s">
        <v>996</v>
      </c>
      <c r="M249" t="s">
        <v>38</v>
      </c>
      <c r="N249" t="s">
        <v>44</v>
      </c>
      <c r="O249">
        <v>4.13</v>
      </c>
      <c r="P249">
        <v>17906.57</v>
      </c>
      <c r="Q249">
        <v>11</v>
      </c>
      <c r="R249">
        <v>751</v>
      </c>
      <c r="S249">
        <v>7599.32</v>
      </c>
      <c r="T249" t="s">
        <v>45</v>
      </c>
    </row>
    <row r="250" spans="1:20" x14ac:dyDescent="0.35">
      <c r="A250" t="s">
        <v>997</v>
      </c>
      <c r="B250" t="s">
        <v>998</v>
      </c>
      <c r="C250" t="s">
        <v>999</v>
      </c>
      <c r="D250">
        <v>45132</v>
      </c>
      <c r="E250" t="s">
        <v>34</v>
      </c>
      <c r="F250">
        <v>8307.2800000000007</v>
      </c>
      <c r="G250">
        <v>22749.1</v>
      </c>
      <c r="H250" t="s">
        <v>49</v>
      </c>
      <c r="I250">
        <v>38</v>
      </c>
      <c r="J250" t="s">
        <v>42</v>
      </c>
      <c r="K250" t="s">
        <v>26</v>
      </c>
      <c r="L250" t="s">
        <v>1000</v>
      </c>
      <c r="M250" t="s">
        <v>28</v>
      </c>
      <c r="N250" t="s">
        <v>62</v>
      </c>
      <c r="O250">
        <v>2.41</v>
      </c>
      <c r="Q250">
        <v>2</v>
      </c>
      <c r="R250">
        <v>668</v>
      </c>
      <c r="S250">
        <v>8522.14</v>
      </c>
      <c r="T250" t="s">
        <v>30</v>
      </c>
    </row>
    <row r="251" spans="1:20" x14ac:dyDescent="0.35">
      <c r="A251" t="s">
        <v>1001</v>
      </c>
      <c r="B251" t="s">
        <v>1002</v>
      </c>
      <c r="C251" t="s">
        <v>1003</v>
      </c>
      <c r="D251">
        <v>44882</v>
      </c>
      <c r="E251" t="s">
        <v>56</v>
      </c>
      <c r="F251">
        <v>9913.51</v>
      </c>
      <c r="G251">
        <v>23088.04</v>
      </c>
      <c r="H251" t="s">
        <v>35</v>
      </c>
      <c r="I251">
        <v>56</v>
      </c>
      <c r="J251" t="s">
        <v>25</v>
      </c>
      <c r="K251" t="s">
        <v>26</v>
      </c>
      <c r="L251" t="s">
        <v>1004</v>
      </c>
      <c r="M251" t="s">
        <v>38</v>
      </c>
      <c r="N251" t="s">
        <v>44</v>
      </c>
      <c r="O251">
        <v>2.2000000000000002</v>
      </c>
      <c r="P251">
        <v>38277.660000000003</v>
      </c>
      <c r="Q251">
        <v>7</v>
      </c>
      <c r="R251">
        <v>773</v>
      </c>
      <c r="S251">
        <v>13715.46</v>
      </c>
      <c r="T251" t="s">
        <v>63</v>
      </c>
    </row>
    <row r="252" spans="1:20" x14ac:dyDescent="0.35">
      <c r="A252" t="s">
        <v>1005</v>
      </c>
      <c r="B252" t="s">
        <v>1006</v>
      </c>
      <c r="C252" t="s">
        <v>1007</v>
      </c>
      <c r="D252">
        <v>44600</v>
      </c>
      <c r="E252" t="s">
        <v>71</v>
      </c>
      <c r="F252">
        <v>8218.1299999999992</v>
      </c>
      <c r="G252">
        <v>47966.39</v>
      </c>
      <c r="H252" t="s">
        <v>35</v>
      </c>
      <c r="I252">
        <v>41</v>
      </c>
      <c r="J252" t="s">
        <v>42</v>
      </c>
      <c r="K252" t="s">
        <v>36</v>
      </c>
      <c r="L252" t="s">
        <v>1008</v>
      </c>
      <c r="M252" t="s">
        <v>28</v>
      </c>
      <c r="N252" t="s">
        <v>29</v>
      </c>
      <c r="O252">
        <v>3.24</v>
      </c>
      <c r="P252">
        <v>48583.11</v>
      </c>
      <c r="R252">
        <v>489</v>
      </c>
      <c r="S252">
        <v>5390.86</v>
      </c>
      <c r="T252" t="s">
        <v>45</v>
      </c>
    </row>
    <row r="253" spans="1:20" x14ac:dyDescent="0.35">
      <c r="A253" t="s">
        <v>1009</v>
      </c>
      <c r="B253" t="s">
        <v>1010</v>
      </c>
      <c r="C253" t="s">
        <v>1011</v>
      </c>
      <c r="D253">
        <v>44889</v>
      </c>
      <c r="E253" t="s">
        <v>23</v>
      </c>
      <c r="F253">
        <v>6979.34</v>
      </c>
      <c r="G253">
        <v>22123.26</v>
      </c>
      <c r="H253" t="s">
        <v>100</v>
      </c>
      <c r="I253">
        <v>50</v>
      </c>
      <c r="J253" t="s">
        <v>42</v>
      </c>
      <c r="K253" t="s">
        <v>50</v>
      </c>
      <c r="L253" t="s">
        <v>1012</v>
      </c>
      <c r="M253" t="s">
        <v>52</v>
      </c>
      <c r="N253" t="s">
        <v>44</v>
      </c>
      <c r="O253">
        <v>1.03</v>
      </c>
      <c r="Q253">
        <v>21</v>
      </c>
      <c r="R253">
        <v>718</v>
      </c>
      <c r="S253">
        <v>13281.77</v>
      </c>
      <c r="T253" t="s">
        <v>45</v>
      </c>
    </row>
    <row r="254" spans="1:20" x14ac:dyDescent="0.35">
      <c r="A254" t="s">
        <v>1013</v>
      </c>
      <c r="B254" t="s">
        <v>115</v>
      </c>
      <c r="C254" t="s">
        <v>1014</v>
      </c>
      <c r="D254">
        <v>45046</v>
      </c>
      <c r="E254" t="s">
        <v>56</v>
      </c>
      <c r="F254">
        <v>5371.68</v>
      </c>
      <c r="G254">
        <v>27917.79</v>
      </c>
      <c r="H254" t="s">
        <v>49</v>
      </c>
      <c r="I254">
        <v>35</v>
      </c>
      <c r="J254" t="s">
        <v>25</v>
      </c>
      <c r="K254" t="s">
        <v>26</v>
      </c>
      <c r="L254" t="s">
        <v>1012</v>
      </c>
      <c r="M254" t="s">
        <v>38</v>
      </c>
      <c r="N254" t="s">
        <v>29</v>
      </c>
      <c r="O254">
        <v>1.33</v>
      </c>
      <c r="P254">
        <v>42328.51</v>
      </c>
      <c r="R254">
        <v>794</v>
      </c>
      <c r="S254">
        <v>10375.14</v>
      </c>
      <c r="T254" t="s">
        <v>45</v>
      </c>
    </row>
    <row r="255" spans="1:20" x14ac:dyDescent="0.35">
      <c r="A255" t="s">
        <v>1015</v>
      </c>
      <c r="B255" t="s">
        <v>1016</v>
      </c>
      <c r="C255" t="s">
        <v>1017</v>
      </c>
      <c r="D255">
        <v>45077</v>
      </c>
      <c r="E255" t="s">
        <v>34</v>
      </c>
      <c r="F255">
        <v>4543.6499999999996</v>
      </c>
      <c r="G255">
        <v>27129.32</v>
      </c>
      <c r="H255" t="s">
        <v>49</v>
      </c>
      <c r="I255">
        <v>45</v>
      </c>
      <c r="J255" t="s">
        <v>42</v>
      </c>
      <c r="K255" t="s">
        <v>36</v>
      </c>
      <c r="L255" t="s">
        <v>1018</v>
      </c>
      <c r="M255" t="s">
        <v>52</v>
      </c>
      <c r="N255" t="s">
        <v>29</v>
      </c>
      <c r="O255">
        <v>1.5</v>
      </c>
      <c r="R255">
        <v>338</v>
      </c>
      <c r="S255">
        <v>2264.4299999999998</v>
      </c>
      <c r="T255" t="s">
        <v>45</v>
      </c>
    </row>
    <row r="256" spans="1:20" x14ac:dyDescent="0.35">
      <c r="A256" t="s">
        <v>1019</v>
      </c>
      <c r="B256" t="s">
        <v>1020</v>
      </c>
      <c r="C256" t="s">
        <v>1021</v>
      </c>
      <c r="D256">
        <v>44767</v>
      </c>
      <c r="E256" t="s">
        <v>23</v>
      </c>
      <c r="F256">
        <v>935.48</v>
      </c>
      <c r="G256">
        <v>32201.32</v>
      </c>
      <c r="H256" t="s">
        <v>49</v>
      </c>
      <c r="I256">
        <v>69</v>
      </c>
      <c r="J256" t="s">
        <v>42</v>
      </c>
      <c r="K256" t="s">
        <v>26</v>
      </c>
      <c r="L256" t="s">
        <v>1022</v>
      </c>
      <c r="M256" t="s">
        <v>28</v>
      </c>
      <c r="N256" t="s">
        <v>62</v>
      </c>
      <c r="O256">
        <v>1.74</v>
      </c>
      <c r="P256">
        <v>44306.29</v>
      </c>
      <c r="R256">
        <v>461</v>
      </c>
      <c r="S256">
        <v>11420.21</v>
      </c>
      <c r="T256" t="s">
        <v>45</v>
      </c>
    </row>
    <row r="257" spans="1:20" x14ac:dyDescent="0.35">
      <c r="A257" t="s">
        <v>1023</v>
      </c>
      <c r="B257" t="s">
        <v>1024</v>
      </c>
      <c r="C257" t="s">
        <v>1025</v>
      </c>
      <c r="D257">
        <v>44751</v>
      </c>
      <c r="E257" t="s">
        <v>71</v>
      </c>
      <c r="F257">
        <v>4053.75</v>
      </c>
      <c r="G257">
        <v>37663.410000000003</v>
      </c>
      <c r="H257" t="s">
        <v>35</v>
      </c>
      <c r="I257">
        <v>49</v>
      </c>
      <c r="J257" t="s">
        <v>42</v>
      </c>
      <c r="K257" t="s">
        <v>26</v>
      </c>
      <c r="L257" t="s">
        <v>516</v>
      </c>
      <c r="M257" t="s">
        <v>38</v>
      </c>
      <c r="N257" t="s">
        <v>62</v>
      </c>
      <c r="O257">
        <v>3.05</v>
      </c>
      <c r="P257">
        <v>15221.74</v>
      </c>
      <c r="Q257">
        <v>21</v>
      </c>
      <c r="R257">
        <v>420</v>
      </c>
      <c r="S257">
        <v>2462.17</v>
      </c>
      <c r="T257" t="s">
        <v>45</v>
      </c>
    </row>
    <row r="258" spans="1:20" x14ac:dyDescent="0.35">
      <c r="A258" t="s">
        <v>1026</v>
      </c>
      <c r="B258" t="s">
        <v>1027</v>
      </c>
      <c r="C258" t="s">
        <v>1028</v>
      </c>
      <c r="D258">
        <v>44961</v>
      </c>
      <c r="E258" t="s">
        <v>56</v>
      </c>
      <c r="F258">
        <v>9110.33</v>
      </c>
      <c r="G258">
        <v>12027.05</v>
      </c>
      <c r="H258" t="s">
        <v>24</v>
      </c>
      <c r="I258">
        <v>29</v>
      </c>
      <c r="J258" t="s">
        <v>42</v>
      </c>
      <c r="K258" t="s">
        <v>26</v>
      </c>
      <c r="L258" t="s">
        <v>1029</v>
      </c>
      <c r="M258" t="s">
        <v>38</v>
      </c>
      <c r="N258" t="s">
        <v>62</v>
      </c>
      <c r="O258">
        <v>4.97</v>
      </c>
      <c r="Q258">
        <v>19</v>
      </c>
      <c r="R258">
        <v>698</v>
      </c>
      <c r="S258">
        <v>14965.95</v>
      </c>
      <c r="T258" t="s">
        <v>63</v>
      </c>
    </row>
    <row r="259" spans="1:20" x14ac:dyDescent="0.35">
      <c r="A259" t="s">
        <v>1030</v>
      </c>
      <c r="B259" t="s">
        <v>1031</v>
      </c>
      <c r="C259" t="s">
        <v>1032</v>
      </c>
      <c r="D259">
        <v>44662</v>
      </c>
      <c r="E259" t="s">
        <v>56</v>
      </c>
      <c r="F259">
        <v>8099.42</v>
      </c>
      <c r="G259">
        <v>26907.5</v>
      </c>
      <c r="H259" t="s">
        <v>125</v>
      </c>
      <c r="I259">
        <v>65</v>
      </c>
      <c r="J259" t="s">
        <v>25</v>
      </c>
      <c r="K259" t="s">
        <v>26</v>
      </c>
      <c r="L259" t="s">
        <v>351</v>
      </c>
      <c r="M259" t="s">
        <v>52</v>
      </c>
      <c r="N259" t="s">
        <v>62</v>
      </c>
      <c r="O259">
        <v>3.61</v>
      </c>
      <c r="Q259">
        <v>4</v>
      </c>
      <c r="R259">
        <v>561</v>
      </c>
      <c r="S259">
        <v>13344.28</v>
      </c>
      <c r="T259" t="s">
        <v>45</v>
      </c>
    </row>
    <row r="260" spans="1:20" x14ac:dyDescent="0.35">
      <c r="A260" t="s">
        <v>1033</v>
      </c>
      <c r="B260" t="s">
        <v>1034</v>
      </c>
      <c r="C260" t="s">
        <v>1035</v>
      </c>
      <c r="D260">
        <v>44856</v>
      </c>
      <c r="E260" t="s">
        <v>56</v>
      </c>
      <c r="F260">
        <v>2238.91</v>
      </c>
      <c r="G260">
        <v>41469.97</v>
      </c>
      <c r="H260" t="s">
        <v>35</v>
      </c>
      <c r="I260">
        <v>59</v>
      </c>
      <c r="J260" t="s">
        <v>42</v>
      </c>
      <c r="K260" t="s">
        <v>26</v>
      </c>
      <c r="L260" t="s">
        <v>1036</v>
      </c>
      <c r="M260" t="s">
        <v>38</v>
      </c>
      <c r="N260" t="s">
        <v>44</v>
      </c>
      <c r="O260">
        <v>1.25</v>
      </c>
      <c r="P260">
        <v>28911.24</v>
      </c>
      <c r="Q260">
        <v>13</v>
      </c>
      <c r="R260">
        <v>428</v>
      </c>
      <c r="S260">
        <v>5865.47</v>
      </c>
      <c r="T260" t="s">
        <v>63</v>
      </c>
    </row>
    <row r="261" spans="1:20" x14ac:dyDescent="0.35">
      <c r="A261" t="s">
        <v>1037</v>
      </c>
      <c r="B261" t="s">
        <v>1038</v>
      </c>
      <c r="C261" t="s">
        <v>1039</v>
      </c>
      <c r="D261">
        <v>44769</v>
      </c>
      <c r="E261" t="s">
        <v>23</v>
      </c>
      <c r="F261">
        <v>4719.42</v>
      </c>
      <c r="G261">
        <v>23692.62</v>
      </c>
      <c r="H261" t="s">
        <v>49</v>
      </c>
      <c r="I261">
        <v>44</v>
      </c>
      <c r="J261" t="s">
        <v>42</v>
      </c>
      <c r="K261" t="s">
        <v>50</v>
      </c>
      <c r="L261" t="s">
        <v>1040</v>
      </c>
      <c r="M261" t="s">
        <v>38</v>
      </c>
      <c r="N261" t="s">
        <v>62</v>
      </c>
      <c r="O261">
        <v>3.1</v>
      </c>
      <c r="P261">
        <v>14056.27</v>
      </c>
      <c r="R261">
        <v>839</v>
      </c>
      <c r="S261">
        <v>5346.35</v>
      </c>
      <c r="T261" t="s">
        <v>30</v>
      </c>
    </row>
    <row r="262" spans="1:20" x14ac:dyDescent="0.35">
      <c r="A262" t="s">
        <v>1041</v>
      </c>
      <c r="B262" t="s">
        <v>1042</v>
      </c>
      <c r="C262" t="s">
        <v>1043</v>
      </c>
      <c r="D262">
        <v>44770</v>
      </c>
      <c r="E262" t="s">
        <v>34</v>
      </c>
      <c r="F262">
        <v>8185.56</v>
      </c>
      <c r="G262">
        <v>14644.42</v>
      </c>
      <c r="H262" t="s">
        <v>35</v>
      </c>
      <c r="I262">
        <v>27</v>
      </c>
      <c r="J262" t="s">
        <v>42</v>
      </c>
      <c r="K262" t="s">
        <v>50</v>
      </c>
      <c r="L262" t="s">
        <v>1044</v>
      </c>
      <c r="M262" t="s">
        <v>52</v>
      </c>
      <c r="N262" t="s">
        <v>44</v>
      </c>
      <c r="O262">
        <v>2.99</v>
      </c>
      <c r="R262">
        <v>655</v>
      </c>
      <c r="S262">
        <v>6958.73</v>
      </c>
      <c r="T262" t="s">
        <v>63</v>
      </c>
    </row>
    <row r="263" spans="1:20" x14ac:dyDescent="0.35">
      <c r="A263" t="s">
        <v>1045</v>
      </c>
      <c r="B263" t="s">
        <v>1046</v>
      </c>
      <c r="C263" t="s">
        <v>1047</v>
      </c>
      <c r="D263">
        <v>44611</v>
      </c>
      <c r="E263" t="s">
        <v>34</v>
      </c>
      <c r="F263">
        <v>767.11</v>
      </c>
      <c r="G263">
        <v>33080.74</v>
      </c>
      <c r="H263" t="s">
        <v>100</v>
      </c>
      <c r="I263">
        <v>63</v>
      </c>
      <c r="J263" t="s">
        <v>25</v>
      </c>
      <c r="K263" t="s">
        <v>36</v>
      </c>
      <c r="L263" t="s">
        <v>1048</v>
      </c>
      <c r="M263" t="s">
        <v>38</v>
      </c>
      <c r="N263" t="s">
        <v>62</v>
      </c>
      <c r="O263">
        <v>1.58</v>
      </c>
      <c r="R263">
        <v>731</v>
      </c>
      <c r="S263">
        <v>6630.17</v>
      </c>
      <c r="T263" t="s">
        <v>30</v>
      </c>
    </row>
    <row r="264" spans="1:20" x14ac:dyDescent="0.35">
      <c r="A264" t="s">
        <v>1049</v>
      </c>
      <c r="B264" t="s">
        <v>1050</v>
      </c>
      <c r="C264" t="s">
        <v>1051</v>
      </c>
      <c r="D264">
        <v>44766</v>
      </c>
      <c r="E264" t="s">
        <v>56</v>
      </c>
      <c r="F264">
        <v>3935.19</v>
      </c>
      <c r="G264">
        <v>41364.6</v>
      </c>
      <c r="H264" t="s">
        <v>49</v>
      </c>
      <c r="I264">
        <v>69</v>
      </c>
      <c r="J264" t="s">
        <v>42</v>
      </c>
      <c r="K264" t="s">
        <v>50</v>
      </c>
      <c r="L264" t="s">
        <v>1052</v>
      </c>
      <c r="M264" t="s">
        <v>52</v>
      </c>
      <c r="N264" t="s">
        <v>62</v>
      </c>
      <c r="O264">
        <v>4.68</v>
      </c>
      <c r="Q264">
        <v>25</v>
      </c>
      <c r="R264">
        <v>364</v>
      </c>
      <c r="S264">
        <v>6840.39</v>
      </c>
      <c r="T264" t="s">
        <v>63</v>
      </c>
    </row>
    <row r="265" spans="1:20" x14ac:dyDescent="0.35">
      <c r="A265" t="s">
        <v>1053</v>
      </c>
      <c r="B265" t="s">
        <v>1054</v>
      </c>
      <c r="C265" t="s">
        <v>1055</v>
      </c>
      <c r="D265">
        <v>44994</v>
      </c>
      <c r="E265" t="s">
        <v>71</v>
      </c>
      <c r="F265">
        <v>8533.23</v>
      </c>
      <c r="G265">
        <v>4093.87</v>
      </c>
      <c r="H265" t="s">
        <v>100</v>
      </c>
      <c r="I265">
        <v>59</v>
      </c>
      <c r="J265" t="s">
        <v>25</v>
      </c>
      <c r="K265" t="s">
        <v>50</v>
      </c>
      <c r="L265" t="s">
        <v>1056</v>
      </c>
      <c r="M265" t="s">
        <v>52</v>
      </c>
      <c r="N265" t="s">
        <v>29</v>
      </c>
      <c r="O265">
        <v>2.76</v>
      </c>
      <c r="P265">
        <v>19280.93</v>
      </c>
      <c r="R265">
        <v>517</v>
      </c>
      <c r="S265">
        <v>6137.6</v>
      </c>
      <c r="T265" t="s">
        <v>63</v>
      </c>
    </row>
    <row r="266" spans="1:20" x14ac:dyDescent="0.35">
      <c r="A266" t="s">
        <v>1057</v>
      </c>
      <c r="B266" t="s">
        <v>1058</v>
      </c>
      <c r="C266" t="s">
        <v>1059</v>
      </c>
      <c r="D266">
        <v>45093</v>
      </c>
      <c r="E266" t="s">
        <v>71</v>
      </c>
      <c r="F266">
        <v>4098.59</v>
      </c>
      <c r="G266">
        <v>39062.730000000003</v>
      </c>
      <c r="H266" t="s">
        <v>49</v>
      </c>
      <c r="I266">
        <v>49</v>
      </c>
      <c r="J266" t="s">
        <v>42</v>
      </c>
      <c r="K266" t="s">
        <v>50</v>
      </c>
      <c r="L266" t="s">
        <v>675</v>
      </c>
      <c r="M266" t="s">
        <v>52</v>
      </c>
      <c r="N266" t="s">
        <v>44</v>
      </c>
      <c r="O266">
        <v>4.9800000000000004</v>
      </c>
      <c r="R266">
        <v>726</v>
      </c>
      <c r="S266">
        <v>10074.73</v>
      </c>
      <c r="T266" t="s">
        <v>45</v>
      </c>
    </row>
    <row r="267" spans="1:20" x14ac:dyDescent="0.35">
      <c r="A267" t="s">
        <v>1060</v>
      </c>
      <c r="B267" t="s">
        <v>1061</v>
      </c>
      <c r="C267" t="s">
        <v>1062</v>
      </c>
      <c r="D267">
        <v>44571</v>
      </c>
      <c r="E267" t="s">
        <v>34</v>
      </c>
      <c r="F267">
        <v>868.38</v>
      </c>
      <c r="G267">
        <v>41260.75</v>
      </c>
      <c r="H267" t="s">
        <v>35</v>
      </c>
      <c r="I267">
        <v>59</v>
      </c>
      <c r="J267" t="s">
        <v>42</v>
      </c>
      <c r="K267" t="s">
        <v>26</v>
      </c>
      <c r="L267" t="s">
        <v>860</v>
      </c>
      <c r="M267" t="s">
        <v>52</v>
      </c>
      <c r="N267" t="s">
        <v>29</v>
      </c>
      <c r="O267">
        <v>2.68</v>
      </c>
      <c r="R267">
        <v>373</v>
      </c>
      <c r="S267">
        <v>4135.43</v>
      </c>
      <c r="T267" t="s">
        <v>63</v>
      </c>
    </row>
    <row r="268" spans="1:20" x14ac:dyDescent="0.35">
      <c r="A268" t="s">
        <v>1063</v>
      </c>
      <c r="B268" t="s">
        <v>1064</v>
      </c>
      <c r="C268" t="s">
        <v>1065</v>
      </c>
      <c r="D268">
        <v>45112</v>
      </c>
      <c r="E268" t="s">
        <v>71</v>
      </c>
      <c r="F268">
        <v>5471.09</v>
      </c>
      <c r="G268">
        <v>23614.62</v>
      </c>
      <c r="H268" t="s">
        <v>24</v>
      </c>
      <c r="I268">
        <v>43</v>
      </c>
      <c r="J268" t="s">
        <v>42</v>
      </c>
      <c r="K268" t="s">
        <v>26</v>
      </c>
      <c r="L268" t="s">
        <v>1066</v>
      </c>
      <c r="M268" t="s">
        <v>52</v>
      </c>
      <c r="N268" t="s">
        <v>62</v>
      </c>
      <c r="O268">
        <v>3.43</v>
      </c>
      <c r="P268">
        <v>39622.81</v>
      </c>
      <c r="Q268">
        <v>28</v>
      </c>
      <c r="R268">
        <v>759</v>
      </c>
      <c r="S268">
        <v>12997.76</v>
      </c>
      <c r="T268" t="s">
        <v>63</v>
      </c>
    </row>
    <row r="269" spans="1:20" x14ac:dyDescent="0.35">
      <c r="A269" t="s">
        <v>1067</v>
      </c>
      <c r="B269" t="s">
        <v>1068</v>
      </c>
      <c r="C269" t="s">
        <v>1069</v>
      </c>
      <c r="D269">
        <v>45046</v>
      </c>
      <c r="E269" t="s">
        <v>34</v>
      </c>
      <c r="F269">
        <v>8631.25</v>
      </c>
      <c r="G269">
        <v>49181.98</v>
      </c>
      <c r="H269" t="s">
        <v>125</v>
      </c>
      <c r="I269">
        <v>42</v>
      </c>
      <c r="J269" t="s">
        <v>25</v>
      </c>
      <c r="K269" t="s">
        <v>36</v>
      </c>
      <c r="L269" t="s">
        <v>1070</v>
      </c>
      <c r="M269" t="s">
        <v>28</v>
      </c>
      <c r="N269" t="s">
        <v>44</v>
      </c>
      <c r="O269">
        <v>1.42</v>
      </c>
      <c r="R269">
        <v>724</v>
      </c>
      <c r="S269">
        <v>12561.23</v>
      </c>
      <c r="T269" t="s">
        <v>45</v>
      </c>
    </row>
    <row r="270" spans="1:20" x14ac:dyDescent="0.35">
      <c r="A270" t="s">
        <v>1071</v>
      </c>
      <c r="B270" t="s">
        <v>1072</v>
      </c>
      <c r="C270" t="s">
        <v>1073</v>
      </c>
      <c r="D270">
        <v>44858</v>
      </c>
      <c r="E270" t="s">
        <v>56</v>
      </c>
      <c r="F270">
        <v>5943.83</v>
      </c>
      <c r="G270">
        <v>39548.71</v>
      </c>
      <c r="H270" t="s">
        <v>100</v>
      </c>
      <c r="I270">
        <v>28</v>
      </c>
      <c r="J270" t="s">
        <v>25</v>
      </c>
      <c r="K270" t="s">
        <v>36</v>
      </c>
      <c r="L270" t="s">
        <v>1074</v>
      </c>
      <c r="M270" t="s">
        <v>28</v>
      </c>
      <c r="N270" t="s">
        <v>62</v>
      </c>
      <c r="O270">
        <v>2.82</v>
      </c>
      <c r="R270">
        <v>491</v>
      </c>
      <c r="S270">
        <v>8194.2800000000007</v>
      </c>
      <c r="T270" t="s">
        <v>30</v>
      </c>
    </row>
    <row r="271" spans="1:20" x14ac:dyDescent="0.35">
      <c r="A271" t="s">
        <v>1075</v>
      </c>
      <c r="B271" t="s">
        <v>1076</v>
      </c>
      <c r="C271" t="s">
        <v>1077</v>
      </c>
      <c r="D271">
        <v>44845</v>
      </c>
      <c r="E271" t="s">
        <v>34</v>
      </c>
      <c r="F271">
        <v>2340.16</v>
      </c>
      <c r="G271">
        <v>38909.47</v>
      </c>
      <c r="H271" t="s">
        <v>35</v>
      </c>
      <c r="I271">
        <v>40</v>
      </c>
      <c r="J271" t="s">
        <v>25</v>
      </c>
      <c r="K271" t="s">
        <v>36</v>
      </c>
      <c r="L271" t="s">
        <v>1078</v>
      </c>
      <c r="M271" t="s">
        <v>52</v>
      </c>
      <c r="N271" t="s">
        <v>29</v>
      </c>
      <c r="O271">
        <v>1.96</v>
      </c>
      <c r="Q271">
        <v>1</v>
      </c>
      <c r="R271">
        <v>488</v>
      </c>
      <c r="S271">
        <v>13085.49</v>
      </c>
      <c r="T271" t="s">
        <v>45</v>
      </c>
    </row>
    <row r="272" spans="1:20" x14ac:dyDescent="0.35">
      <c r="A272" t="s">
        <v>1079</v>
      </c>
      <c r="B272" t="s">
        <v>1080</v>
      </c>
      <c r="C272" t="s">
        <v>1081</v>
      </c>
      <c r="D272">
        <v>44825</v>
      </c>
      <c r="E272" t="s">
        <v>34</v>
      </c>
      <c r="F272">
        <v>3903.97</v>
      </c>
      <c r="G272">
        <v>37644.089999999997</v>
      </c>
      <c r="H272" t="s">
        <v>24</v>
      </c>
      <c r="I272">
        <v>51</v>
      </c>
      <c r="J272" t="s">
        <v>25</v>
      </c>
      <c r="K272" t="s">
        <v>26</v>
      </c>
      <c r="L272" t="s">
        <v>1082</v>
      </c>
      <c r="M272" t="s">
        <v>28</v>
      </c>
      <c r="N272" t="s">
        <v>44</v>
      </c>
      <c r="O272">
        <v>4.34</v>
      </c>
      <c r="R272">
        <v>311</v>
      </c>
      <c r="S272">
        <v>5212.8900000000003</v>
      </c>
      <c r="T272" t="s">
        <v>45</v>
      </c>
    </row>
    <row r="273" spans="1:20" x14ac:dyDescent="0.35">
      <c r="A273" t="s">
        <v>1083</v>
      </c>
      <c r="B273" t="s">
        <v>1084</v>
      </c>
      <c r="C273" t="s">
        <v>1085</v>
      </c>
      <c r="D273">
        <v>45051</v>
      </c>
      <c r="E273" t="s">
        <v>56</v>
      </c>
      <c r="F273">
        <v>4556.22</v>
      </c>
      <c r="G273">
        <v>8379.7999999999993</v>
      </c>
      <c r="H273" t="s">
        <v>35</v>
      </c>
      <c r="I273">
        <v>69</v>
      </c>
      <c r="J273" t="s">
        <v>25</v>
      </c>
      <c r="K273" t="s">
        <v>50</v>
      </c>
      <c r="L273" t="s">
        <v>538</v>
      </c>
      <c r="M273" t="s">
        <v>28</v>
      </c>
      <c r="N273" t="s">
        <v>29</v>
      </c>
      <c r="O273">
        <v>4.1399999999999997</v>
      </c>
      <c r="P273">
        <v>39985.050000000003</v>
      </c>
      <c r="Q273">
        <v>19</v>
      </c>
      <c r="R273">
        <v>538</v>
      </c>
      <c r="S273">
        <v>2228.35</v>
      </c>
      <c r="T273" t="s">
        <v>45</v>
      </c>
    </row>
    <row r="274" spans="1:20" x14ac:dyDescent="0.35">
      <c r="A274" t="s">
        <v>1086</v>
      </c>
      <c r="B274" t="s">
        <v>1087</v>
      </c>
      <c r="C274" t="s">
        <v>1088</v>
      </c>
      <c r="D274">
        <v>44591</v>
      </c>
      <c r="E274" t="s">
        <v>71</v>
      </c>
      <c r="F274">
        <v>5834.74</v>
      </c>
      <c r="G274">
        <v>11644.31</v>
      </c>
      <c r="H274" t="s">
        <v>100</v>
      </c>
      <c r="I274">
        <v>57</v>
      </c>
      <c r="J274" t="s">
        <v>25</v>
      </c>
      <c r="K274" t="s">
        <v>50</v>
      </c>
      <c r="L274" t="s">
        <v>1089</v>
      </c>
      <c r="M274" t="s">
        <v>38</v>
      </c>
      <c r="N274" t="s">
        <v>62</v>
      </c>
      <c r="O274">
        <v>4.3</v>
      </c>
      <c r="R274">
        <v>752</v>
      </c>
      <c r="S274">
        <v>10049.700000000001</v>
      </c>
      <c r="T274" t="s">
        <v>30</v>
      </c>
    </row>
    <row r="275" spans="1:20" x14ac:dyDescent="0.35">
      <c r="A275" t="s">
        <v>1090</v>
      </c>
      <c r="B275" t="s">
        <v>1091</v>
      </c>
      <c r="C275" t="s">
        <v>1092</v>
      </c>
      <c r="D275">
        <v>45055</v>
      </c>
      <c r="E275" t="s">
        <v>34</v>
      </c>
      <c r="F275">
        <v>7617.58</v>
      </c>
      <c r="G275">
        <v>23735.52</v>
      </c>
      <c r="H275" t="s">
        <v>125</v>
      </c>
      <c r="I275">
        <v>40</v>
      </c>
      <c r="J275" t="s">
        <v>42</v>
      </c>
      <c r="K275" t="s">
        <v>26</v>
      </c>
      <c r="L275" t="s">
        <v>1093</v>
      </c>
      <c r="M275" t="s">
        <v>52</v>
      </c>
      <c r="N275" t="s">
        <v>62</v>
      </c>
      <c r="O275">
        <v>3.89</v>
      </c>
      <c r="Q275">
        <v>1</v>
      </c>
      <c r="R275">
        <v>682</v>
      </c>
      <c r="S275">
        <v>7952.82</v>
      </c>
      <c r="T275" t="s">
        <v>63</v>
      </c>
    </row>
    <row r="276" spans="1:20" x14ac:dyDescent="0.35">
      <c r="A276" t="s">
        <v>1094</v>
      </c>
      <c r="B276" t="s">
        <v>1095</v>
      </c>
      <c r="C276" t="s">
        <v>1096</v>
      </c>
      <c r="D276">
        <v>44993</v>
      </c>
      <c r="E276" t="s">
        <v>34</v>
      </c>
      <c r="F276">
        <v>1078.8499999999999</v>
      </c>
      <c r="G276">
        <v>13936.21</v>
      </c>
      <c r="H276" t="s">
        <v>35</v>
      </c>
      <c r="I276">
        <v>46</v>
      </c>
      <c r="J276" t="s">
        <v>25</v>
      </c>
      <c r="K276" t="s">
        <v>36</v>
      </c>
      <c r="L276" t="s">
        <v>1097</v>
      </c>
      <c r="M276" t="s">
        <v>28</v>
      </c>
      <c r="N276" t="s">
        <v>62</v>
      </c>
      <c r="O276">
        <v>4.33</v>
      </c>
      <c r="Q276">
        <v>8</v>
      </c>
      <c r="R276">
        <v>347</v>
      </c>
      <c r="S276">
        <v>9373.14</v>
      </c>
      <c r="T276" t="s">
        <v>63</v>
      </c>
    </row>
    <row r="277" spans="1:20" x14ac:dyDescent="0.35">
      <c r="A277" t="s">
        <v>1098</v>
      </c>
      <c r="B277" t="s">
        <v>1099</v>
      </c>
      <c r="C277" t="s">
        <v>1100</v>
      </c>
      <c r="D277">
        <v>44647</v>
      </c>
      <c r="E277" t="s">
        <v>56</v>
      </c>
      <c r="F277">
        <v>8907.56</v>
      </c>
      <c r="G277">
        <v>21346.81</v>
      </c>
      <c r="H277" t="s">
        <v>49</v>
      </c>
      <c r="I277">
        <v>48</v>
      </c>
      <c r="J277" t="s">
        <v>42</v>
      </c>
      <c r="K277" t="s">
        <v>36</v>
      </c>
      <c r="L277" t="s">
        <v>497</v>
      </c>
      <c r="M277" t="s">
        <v>38</v>
      </c>
      <c r="N277" t="s">
        <v>44</v>
      </c>
      <c r="O277">
        <v>1.8</v>
      </c>
      <c r="Q277">
        <v>17</v>
      </c>
      <c r="R277">
        <v>616</v>
      </c>
      <c r="S277">
        <v>13691.41</v>
      </c>
      <c r="T277" t="s">
        <v>45</v>
      </c>
    </row>
    <row r="278" spans="1:20" x14ac:dyDescent="0.35">
      <c r="A278" t="s">
        <v>1101</v>
      </c>
      <c r="B278" t="s">
        <v>749</v>
      </c>
      <c r="C278" t="s">
        <v>1102</v>
      </c>
      <c r="D278">
        <v>44912</v>
      </c>
      <c r="E278" t="s">
        <v>71</v>
      </c>
      <c r="F278">
        <v>221.87</v>
      </c>
      <c r="G278">
        <v>44534.74</v>
      </c>
      <c r="H278" t="s">
        <v>24</v>
      </c>
      <c r="I278">
        <v>24</v>
      </c>
      <c r="J278" t="s">
        <v>25</v>
      </c>
      <c r="K278" t="s">
        <v>36</v>
      </c>
      <c r="L278" t="s">
        <v>391</v>
      </c>
      <c r="M278" t="s">
        <v>38</v>
      </c>
      <c r="N278" t="s">
        <v>29</v>
      </c>
      <c r="O278">
        <v>2.81</v>
      </c>
      <c r="R278">
        <v>508</v>
      </c>
      <c r="S278">
        <v>14609.03</v>
      </c>
      <c r="T278" t="s">
        <v>45</v>
      </c>
    </row>
    <row r="279" spans="1:20" x14ac:dyDescent="0.35">
      <c r="A279" t="s">
        <v>1103</v>
      </c>
      <c r="B279" t="s">
        <v>1104</v>
      </c>
      <c r="C279" t="s">
        <v>1105</v>
      </c>
      <c r="D279">
        <v>44782</v>
      </c>
      <c r="E279" t="s">
        <v>34</v>
      </c>
      <c r="F279">
        <v>3763.52</v>
      </c>
      <c r="G279">
        <v>41392.019999999997</v>
      </c>
      <c r="H279" t="s">
        <v>35</v>
      </c>
      <c r="I279">
        <v>57</v>
      </c>
      <c r="J279" t="s">
        <v>25</v>
      </c>
      <c r="K279" t="s">
        <v>26</v>
      </c>
      <c r="L279" t="s">
        <v>1106</v>
      </c>
      <c r="M279" t="s">
        <v>52</v>
      </c>
      <c r="N279" t="s">
        <v>29</v>
      </c>
      <c r="O279">
        <v>3.77</v>
      </c>
      <c r="R279">
        <v>846</v>
      </c>
      <c r="S279">
        <v>10247.89</v>
      </c>
      <c r="T279" t="s">
        <v>63</v>
      </c>
    </row>
    <row r="280" spans="1:20" x14ac:dyDescent="0.35">
      <c r="A280" t="s">
        <v>1107</v>
      </c>
      <c r="B280" t="s">
        <v>1108</v>
      </c>
      <c r="C280" t="s">
        <v>1109</v>
      </c>
      <c r="D280">
        <v>44661</v>
      </c>
      <c r="E280" t="s">
        <v>56</v>
      </c>
      <c r="F280">
        <v>371.46</v>
      </c>
      <c r="G280">
        <v>31871.95</v>
      </c>
      <c r="H280" t="s">
        <v>24</v>
      </c>
      <c r="I280">
        <v>50</v>
      </c>
      <c r="J280" t="s">
        <v>25</v>
      </c>
      <c r="K280" t="s">
        <v>36</v>
      </c>
      <c r="L280" t="s">
        <v>1110</v>
      </c>
      <c r="M280" t="s">
        <v>52</v>
      </c>
      <c r="N280" t="s">
        <v>62</v>
      </c>
      <c r="O280">
        <v>3.55</v>
      </c>
      <c r="P280">
        <v>10602.74</v>
      </c>
      <c r="Q280">
        <v>15</v>
      </c>
      <c r="R280">
        <v>418</v>
      </c>
      <c r="S280">
        <v>11932.72</v>
      </c>
      <c r="T280" t="s">
        <v>63</v>
      </c>
    </row>
    <row r="281" spans="1:20" x14ac:dyDescent="0.35">
      <c r="A281" t="s">
        <v>1111</v>
      </c>
      <c r="B281" t="s">
        <v>1112</v>
      </c>
      <c r="C281" t="s">
        <v>1113</v>
      </c>
      <c r="D281">
        <v>44858</v>
      </c>
      <c r="E281" t="s">
        <v>34</v>
      </c>
      <c r="F281">
        <v>3990.44</v>
      </c>
      <c r="G281">
        <v>43047.9</v>
      </c>
      <c r="H281" t="s">
        <v>49</v>
      </c>
      <c r="I281">
        <v>38</v>
      </c>
      <c r="J281" t="s">
        <v>42</v>
      </c>
      <c r="K281" t="s">
        <v>36</v>
      </c>
      <c r="L281" t="s">
        <v>1114</v>
      </c>
      <c r="M281" t="s">
        <v>38</v>
      </c>
      <c r="N281" t="s">
        <v>29</v>
      </c>
      <c r="O281">
        <v>3.87</v>
      </c>
      <c r="P281">
        <v>48677</v>
      </c>
      <c r="Q281">
        <v>18</v>
      </c>
      <c r="R281">
        <v>614</v>
      </c>
      <c r="S281">
        <v>3089.51</v>
      </c>
      <c r="T281" t="s">
        <v>63</v>
      </c>
    </row>
    <row r="282" spans="1:20" x14ac:dyDescent="0.35">
      <c r="A282" t="s">
        <v>1115</v>
      </c>
      <c r="B282" t="s">
        <v>904</v>
      </c>
      <c r="C282" t="s">
        <v>1116</v>
      </c>
      <c r="D282">
        <v>44906</v>
      </c>
      <c r="E282" t="s">
        <v>23</v>
      </c>
      <c r="F282">
        <v>5305.54</v>
      </c>
      <c r="G282">
        <v>39404.85</v>
      </c>
      <c r="H282" t="s">
        <v>125</v>
      </c>
      <c r="I282">
        <v>19</v>
      </c>
      <c r="J282" t="s">
        <v>25</v>
      </c>
      <c r="K282" t="s">
        <v>26</v>
      </c>
      <c r="L282" t="s">
        <v>1117</v>
      </c>
      <c r="M282" t="s">
        <v>52</v>
      </c>
      <c r="N282" t="s">
        <v>44</v>
      </c>
      <c r="O282">
        <v>1.9</v>
      </c>
      <c r="P282">
        <v>29971.919999999998</v>
      </c>
      <c r="Q282">
        <v>7</v>
      </c>
      <c r="R282">
        <v>335</v>
      </c>
      <c r="S282">
        <v>4089.3</v>
      </c>
      <c r="T282" t="s">
        <v>30</v>
      </c>
    </row>
    <row r="283" spans="1:20" x14ac:dyDescent="0.35">
      <c r="A283" t="s">
        <v>1118</v>
      </c>
      <c r="B283" t="s">
        <v>1119</v>
      </c>
      <c r="C283" t="s">
        <v>1120</v>
      </c>
      <c r="D283">
        <v>44949</v>
      </c>
      <c r="E283" t="s">
        <v>56</v>
      </c>
      <c r="F283">
        <v>5165.6499999999996</v>
      </c>
      <c r="G283">
        <v>22020.26</v>
      </c>
      <c r="H283" t="s">
        <v>125</v>
      </c>
      <c r="I283">
        <v>35</v>
      </c>
      <c r="J283" t="s">
        <v>25</v>
      </c>
      <c r="K283" t="s">
        <v>50</v>
      </c>
      <c r="L283" t="s">
        <v>1121</v>
      </c>
      <c r="M283" t="s">
        <v>52</v>
      </c>
      <c r="N283" t="s">
        <v>62</v>
      </c>
      <c r="O283">
        <v>1.39</v>
      </c>
      <c r="Q283">
        <v>16</v>
      </c>
      <c r="R283">
        <v>762</v>
      </c>
      <c r="S283">
        <v>11531.66</v>
      </c>
      <c r="T283" t="s">
        <v>30</v>
      </c>
    </row>
    <row r="284" spans="1:20" x14ac:dyDescent="0.35">
      <c r="A284" t="s">
        <v>1122</v>
      </c>
      <c r="B284" t="s">
        <v>1123</v>
      </c>
      <c r="C284" t="s">
        <v>1124</v>
      </c>
      <c r="D284">
        <v>45118</v>
      </c>
      <c r="E284" t="s">
        <v>71</v>
      </c>
      <c r="F284">
        <v>1739.72</v>
      </c>
      <c r="G284">
        <v>10852.19</v>
      </c>
      <c r="H284" t="s">
        <v>49</v>
      </c>
      <c r="I284">
        <v>64</v>
      </c>
      <c r="J284" t="s">
        <v>42</v>
      </c>
      <c r="K284" t="s">
        <v>26</v>
      </c>
      <c r="L284" t="s">
        <v>546</v>
      </c>
      <c r="M284" t="s">
        <v>38</v>
      </c>
      <c r="N284" t="s">
        <v>62</v>
      </c>
      <c r="O284">
        <v>4.67</v>
      </c>
      <c r="Q284">
        <v>7</v>
      </c>
      <c r="R284">
        <v>702</v>
      </c>
      <c r="S284">
        <v>7607.75</v>
      </c>
      <c r="T284" t="s">
        <v>45</v>
      </c>
    </row>
    <row r="285" spans="1:20" x14ac:dyDescent="0.35">
      <c r="A285" t="s">
        <v>1125</v>
      </c>
      <c r="B285" t="s">
        <v>1126</v>
      </c>
      <c r="C285" t="s">
        <v>1127</v>
      </c>
      <c r="D285">
        <v>44746</v>
      </c>
      <c r="E285" t="s">
        <v>71</v>
      </c>
      <c r="F285">
        <v>6492.83</v>
      </c>
      <c r="G285">
        <v>26195.85</v>
      </c>
      <c r="H285" t="s">
        <v>24</v>
      </c>
      <c r="I285">
        <v>50</v>
      </c>
      <c r="J285" t="s">
        <v>42</v>
      </c>
      <c r="K285" t="s">
        <v>26</v>
      </c>
      <c r="L285" t="s">
        <v>1128</v>
      </c>
      <c r="M285" t="s">
        <v>38</v>
      </c>
      <c r="N285" t="s">
        <v>62</v>
      </c>
      <c r="O285">
        <v>3.24</v>
      </c>
      <c r="Q285">
        <v>17</v>
      </c>
      <c r="R285">
        <v>406</v>
      </c>
      <c r="S285">
        <v>7797.55</v>
      </c>
      <c r="T285" t="s">
        <v>30</v>
      </c>
    </row>
    <row r="286" spans="1:20" x14ac:dyDescent="0.35">
      <c r="A286" t="s">
        <v>1129</v>
      </c>
      <c r="B286" t="s">
        <v>1130</v>
      </c>
      <c r="C286" t="s">
        <v>1131</v>
      </c>
      <c r="D286">
        <v>44849</v>
      </c>
      <c r="E286" t="s">
        <v>71</v>
      </c>
      <c r="F286">
        <v>543.30999999999995</v>
      </c>
      <c r="G286">
        <v>37075.22</v>
      </c>
      <c r="H286" t="s">
        <v>35</v>
      </c>
      <c r="I286">
        <v>54</v>
      </c>
      <c r="J286" t="s">
        <v>42</v>
      </c>
      <c r="K286" t="s">
        <v>26</v>
      </c>
      <c r="L286" t="s">
        <v>1132</v>
      </c>
      <c r="M286" t="s">
        <v>52</v>
      </c>
      <c r="N286" t="s">
        <v>44</v>
      </c>
      <c r="O286">
        <v>1.62</v>
      </c>
      <c r="P286">
        <v>33484.97</v>
      </c>
      <c r="Q286">
        <v>4</v>
      </c>
      <c r="R286">
        <v>338</v>
      </c>
      <c r="S286">
        <v>6011.9</v>
      </c>
      <c r="T286" t="s">
        <v>45</v>
      </c>
    </row>
    <row r="287" spans="1:20" x14ac:dyDescent="0.35">
      <c r="A287" t="s">
        <v>1133</v>
      </c>
      <c r="B287" t="s">
        <v>1134</v>
      </c>
      <c r="C287" t="s">
        <v>1135</v>
      </c>
      <c r="D287">
        <v>45008</v>
      </c>
      <c r="E287" t="s">
        <v>71</v>
      </c>
      <c r="F287">
        <v>7642.88</v>
      </c>
      <c r="G287">
        <v>22384.560000000001</v>
      </c>
      <c r="H287" t="s">
        <v>49</v>
      </c>
      <c r="I287">
        <v>51</v>
      </c>
      <c r="J287" t="s">
        <v>42</v>
      </c>
      <c r="K287" t="s">
        <v>26</v>
      </c>
      <c r="L287" t="s">
        <v>1136</v>
      </c>
      <c r="M287" t="s">
        <v>28</v>
      </c>
      <c r="N287" t="s">
        <v>62</v>
      </c>
      <c r="O287">
        <v>4.17</v>
      </c>
      <c r="Q287">
        <v>12</v>
      </c>
      <c r="R287">
        <v>479</v>
      </c>
      <c r="S287">
        <v>9895.6299999999992</v>
      </c>
      <c r="T287" t="s">
        <v>63</v>
      </c>
    </row>
    <row r="288" spans="1:20" x14ac:dyDescent="0.35">
      <c r="A288" t="s">
        <v>1137</v>
      </c>
      <c r="B288" t="s">
        <v>1138</v>
      </c>
      <c r="C288" t="s">
        <v>1139</v>
      </c>
      <c r="D288">
        <v>44697</v>
      </c>
      <c r="E288" t="s">
        <v>34</v>
      </c>
      <c r="F288">
        <v>9471.7800000000007</v>
      </c>
      <c r="G288">
        <v>33671.82</v>
      </c>
      <c r="H288" t="s">
        <v>100</v>
      </c>
      <c r="I288">
        <v>37</v>
      </c>
      <c r="J288" t="s">
        <v>25</v>
      </c>
      <c r="K288" t="s">
        <v>50</v>
      </c>
      <c r="L288" t="s">
        <v>1140</v>
      </c>
      <c r="M288" t="s">
        <v>52</v>
      </c>
      <c r="N288" t="s">
        <v>62</v>
      </c>
      <c r="O288">
        <v>4.66</v>
      </c>
      <c r="P288">
        <v>15935.09</v>
      </c>
      <c r="Q288">
        <v>13</v>
      </c>
      <c r="R288">
        <v>311</v>
      </c>
      <c r="S288">
        <v>4407.1499999999996</v>
      </c>
      <c r="T288" t="s">
        <v>63</v>
      </c>
    </row>
    <row r="289" spans="1:20" x14ac:dyDescent="0.35">
      <c r="A289" t="s">
        <v>1141</v>
      </c>
      <c r="B289" t="s">
        <v>111</v>
      </c>
      <c r="C289" t="s">
        <v>1142</v>
      </c>
      <c r="D289">
        <v>44699</v>
      </c>
      <c r="E289" t="s">
        <v>34</v>
      </c>
      <c r="F289">
        <v>3463.71</v>
      </c>
      <c r="G289">
        <v>5622.04</v>
      </c>
      <c r="H289" t="s">
        <v>24</v>
      </c>
      <c r="I289">
        <v>52</v>
      </c>
      <c r="J289" t="s">
        <v>42</v>
      </c>
      <c r="K289" t="s">
        <v>36</v>
      </c>
      <c r="L289" t="s">
        <v>1143</v>
      </c>
      <c r="M289" t="s">
        <v>28</v>
      </c>
      <c r="N289" t="s">
        <v>62</v>
      </c>
      <c r="O289">
        <v>1.68</v>
      </c>
      <c r="Q289">
        <v>4</v>
      </c>
      <c r="R289">
        <v>638</v>
      </c>
      <c r="S289">
        <v>10149.91</v>
      </c>
      <c r="T289" t="s">
        <v>45</v>
      </c>
    </row>
    <row r="290" spans="1:20" x14ac:dyDescent="0.35">
      <c r="A290" t="s">
        <v>1144</v>
      </c>
      <c r="B290" t="s">
        <v>1145</v>
      </c>
      <c r="C290" t="s">
        <v>1146</v>
      </c>
      <c r="D290">
        <v>44667</v>
      </c>
      <c r="E290" t="s">
        <v>71</v>
      </c>
      <c r="F290">
        <v>5220.67</v>
      </c>
      <c r="G290">
        <v>37652.230000000003</v>
      </c>
      <c r="H290" t="s">
        <v>125</v>
      </c>
      <c r="I290">
        <v>68</v>
      </c>
      <c r="J290" t="s">
        <v>25</v>
      </c>
      <c r="K290" t="s">
        <v>26</v>
      </c>
      <c r="L290" t="s">
        <v>1147</v>
      </c>
      <c r="M290" t="s">
        <v>38</v>
      </c>
      <c r="N290" t="s">
        <v>62</v>
      </c>
      <c r="O290">
        <v>4.2699999999999996</v>
      </c>
      <c r="Q290">
        <v>21</v>
      </c>
      <c r="R290">
        <v>847</v>
      </c>
      <c r="S290">
        <v>4259.3900000000003</v>
      </c>
      <c r="T290" t="s">
        <v>63</v>
      </c>
    </row>
    <row r="291" spans="1:20" x14ac:dyDescent="0.35">
      <c r="A291" t="s">
        <v>1148</v>
      </c>
      <c r="B291" t="s">
        <v>1149</v>
      </c>
      <c r="C291" t="s">
        <v>1150</v>
      </c>
      <c r="D291">
        <v>45083</v>
      </c>
      <c r="E291" t="s">
        <v>71</v>
      </c>
      <c r="F291">
        <v>3851.21</v>
      </c>
      <c r="G291">
        <v>40822.97</v>
      </c>
      <c r="H291" t="s">
        <v>49</v>
      </c>
      <c r="I291">
        <v>67</v>
      </c>
      <c r="J291" t="s">
        <v>25</v>
      </c>
      <c r="K291" t="s">
        <v>50</v>
      </c>
      <c r="L291" t="s">
        <v>292</v>
      </c>
      <c r="M291" t="s">
        <v>28</v>
      </c>
      <c r="N291" t="s">
        <v>29</v>
      </c>
      <c r="O291">
        <v>4.7300000000000004</v>
      </c>
      <c r="P291">
        <v>43478.99</v>
      </c>
      <c r="Q291">
        <v>1</v>
      </c>
      <c r="R291">
        <v>425</v>
      </c>
      <c r="S291">
        <v>2829.74</v>
      </c>
      <c r="T291" t="s">
        <v>45</v>
      </c>
    </row>
    <row r="292" spans="1:20" x14ac:dyDescent="0.35">
      <c r="A292" t="s">
        <v>1151</v>
      </c>
      <c r="B292" t="s">
        <v>1152</v>
      </c>
      <c r="C292" t="s">
        <v>1153</v>
      </c>
      <c r="D292">
        <v>44895</v>
      </c>
      <c r="E292" t="s">
        <v>71</v>
      </c>
      <c r="F292">
        <v>166.43</v>
      </c>
      <c r="G292">
        <v>35635.050000000003</v>
      </c>
      <c r="H292" t="s">
        <v>125</v>
      </c>
      <c r="I292">
        <v>35</v>
      </c>
      <c r="J292" t="s">
        <v>42</v>
      </c>
      <c r="K292" t="s">
        <v>36</v>
      </c>
      <c r="L292" t="s">
        <v>1154</v>
      </c>
      <c r="M292" t="s">
        <v>38</v>
      </c>
      <c r="N292" t="s">
        <v>62</v>
      </c>
      <c r="O292">
        <v>4.75</v>
      </c>
      <c r="P292">
        <v>34617.31</v>
      </c>
      <c r="R292">
        <v>362</v>
      </c>
      <c r="S292">
        <v>6294.65</v>
      </c>
      <c r="T292" t="s">
        <v>45</v>
      </c>
    </row>
    <row r="293" spans="1:20" x14ac:dyDescent="0.35">
      <c r="A293" t="s">
        <v>1155</v>
      </c>
      <c r="B293" t="s">
        <v>1156</v>
      </c>
      <c r="C293" t="s">
        <v>1157</v>
      </c>
      <c r="D293">
        <v>45048</v>
      </c>
      <c r="E293" t="s">
        <v>34</v>
      </c>
      <c r="F293">
        <v>3920.16</v>
      </c>
      <c r="G293">
        <v>48395.92</v>
      </c>
      <c r="H293" t="s">
        <v>24</v>
      </c>
      <c r="I293">
        <v>63</v>
      </c>
      <c r="J293" t="s">
        <v>25</v>
      </c>
      <c r="K293" t="s">
        <v>36</v>
      </c>
      <c r="L293" t="s">
        <v>57</v>
      </c>
      <c r="M293" t="s">
        <v>52</v>
      </c>
      <c r="N293" t="s">
        <v>44</v>
      </c>
      <c r="O293">
        <v>4.66</v>
      </c>
      <c r="P293">
        <v>24549.05</v>
      </c>
      <c r="Q293">
        <v>7</v>
      </c>
      <c r="R293">
        <v>381</v>
      </c>
      <c r="S293">
        <v>5004.82</v>
      </c>
      <c r="T293" t="s">
        <v>45</v>
      </c>
    </row>
    <row r="294" spans="1:20" x14ac:dyDescent="0.35">
      <c r="A294" t="s">
        <v>1158</v>
      </c>
      <c r="B294" t="s">
        <v>1159</v>
      </c>
      <c r="C294" t="s">
        <v>1160</v>
      </c>
      <c r="D294">
        <v>44615</v>
      </c>
      <c r="E294" t="s">
        <v>71</v>
      </c>
      <c r="F294">
        <v>7938.03</v>
      </c>
      <c r="G294">
        <v>41505.949999999997</v>
      </c>
      <c r="H294" t="s">
        <v>125</v>
      </c>
      <c r="I294">
        <v>41</v>
      </c>
      <c r="J294" t="s">
        <v>42</v>
      </c>
      <c r="K294" t="s">
        <v>36</v>
      </c>
      <c r="L294" t="s">
        <v>1161</v>
      </c>
      <c r="M294" t="s">
        <v>52</v>
      </c>
      <c r="N294" t="s">
        <v>62</v>
      </c>
      <c r="O294">
        <v>3.19</v>
      </c>
      <c r="P294">
        <v>20589.48</v>
      </c>
      <c r="R294">
        <v>598</v>
      </c>
      <c r="S294">
        <v>13556.89</v>
      </c>
      <c r="T294" t="s">
        <v>30</v>
      </c>
    </row>
    <row r="295" spans="1:20" x14ac:dyDescent="0.35">
      <c r="A295" t="s">
        <v>1162</v>
      </c>
      <c r="B295" t="s">
        <v>1163</v>
      </c>
      <c r="C295" t="s">
        <v>1164</v>
      </c>
      <c r="D295">
        <v>44897</v>
      </c>
      <c r="E295" t="s">
        <v>71</v>
      </c>
      <c r="F295">
        <v>6000.29</v>
      </c>
      <c r="G295">
        <v>45251.59</v>
      </c>
      <c r="H295" t="s">
        <v>49</v>
      </c>
      <c r="I295">
        <v>25</v>
      </c>
      <c r="J295" t="s">
        <v>25</v>
      </c>
      <c r="K295" t="s">
        <v>26</v>
      </c>
      <c r="L295" t="s">
        <v>272</v>
      </c>
      <c r="M295" t="s">
        <v>38</v>
      </c>
      <c r="N295" t="s">
        <v>62</v>
      </c>
      <c r="O295">
        <v>2.42</v>
      </c>
      <c r="P295">
        <v>5866.2</v>
      </c>
      <c r="R295">
        <v>333</v>
      </c>
      <c r="S295">
        <v>2714.39</v>
      </c>
      <c r="T295" t="s">
        <v>45</v>
      </c>
    </row>
    <row r="296" spans="1:20" x14ac:dyDescent="0.35">
      <c r="A296" t="s">
        <v>1165</v>
      </c>
      <c r="B296" t="s">
        <v>1166</v>
      </c>
      <c r="C296" t="s">
        <v>1167</v>
      </c>
      <c r="D296">
        <v>45005</v>
      </c>
      <c r="E296" t="s">
        <v>23</v>
      </c>
      <c r="F296">
        <v>1102.47</v>
      </c>
      <c r="G296">
        <v>46744.98</v>
      </c>
      <c r="H296" t="s">
        <v>24</v>
      </c>
      <c r="I296">
        <v>47</v>
      </c>
      <c r="J296" t="s">
        <v>42</v>
      </c>
      <c r="K296" t="s">
        <v>26</v>
      </c>
      <c r="L296" t="s">
        <v>1168</v>
      </c>
      <c r="M296" t="s">
        <v>38</v>
      </c>
      <c r="N296" t="s">
        <v>29</v>
      </c>
      <c r="O296">
        <v>1.03</v>
      </c>
      <c r="P296">
        <v>42134.67</v>
      </c>
      <c r="R296">
        <v>348</v>
      </c>
      <c r="S296">
        <v>4295.9799999999996</v>
      </c>
      <c r="T296" t="s">
        <v>45</v>
      </c>
    </row>
    <row r="297" spans="1:20" x14ac:dyDescent="0.35">
      <c r="A297" t="s">
        <v>1169</v>
      </c>
      <c r="B297" t="s">
        <v>1170</v>
      </c>
      <c r="C297" t="s">
        <v>1171</v>
      </c>
      <c r="D297">
        <v>44692</v>
      </c>
      <c r="E297" t="s">
        <v>23</v>
      </c>
      <c r="F297">
        <v>8486.68</v>
      </c>
      <c r="G297">
        <v>40266.050000000003</v>
      </c>
      <c r="H297" t="s">
        <v>100</v>
      </c>
      <c r="I297">
        <v>61</v>
      </c>
      <c r="J297" t="s">
        <v>42</v>
      </c>
      <c r="K297" t="s">
        <v>36</v>
      </c>
      <c r="L297" t="s">
        <v>1128</v>
      </c>
      <c r="M297" t="s">
        <v>38</v>
      </c>
      <c r="N297" t="s">
        <v>62</v>
      </c>
      <c r="O297">
        <v>1.24</v>
      </c>
      <c r="Q297">
        <v>18</v>
      </c>
      <c r="R297">
        <v>356</v>
      </c>
      <c r="S297">
        <v>9133.35</v>
      </c>
      <c r="T297" t="s">
        <v>45</v>
      </c>
    </row>
    <row r="298" spans="1:20" x14ac:dyDescent="0.35">
      <c r="A298" t="s">
        <v>1172</v>
      </c>
      <c r="B298" t="s">
        <v>1173</v>
      </c>
      <c r="C298" t="s">
        <v>1174</v>
      </c>
      <c r="D298">
        <v>44799</v>
      </c>
      <c r="E298" t="s">
        <v>71</v>
      </c>
      <c r="F298">
        <v>5357.74</v>
      </c>
      <c r="G298">
        <v>34038.68</v>
      </c>
      <c r="H298" t="s">
        <v>49</v>
      </c>
      <c r="I298">
        <v>27</v>
      </c>
      <c r="J298" t="s">
        <v>42</v>
      </c>
      <c r="K298" t="s">
        <v>36</v>
      </c>
      <c r="L298" t="s">
        <v>739</v>
      </c>
      <c r="M298" t="s">
        <v>52</v>
      </c>
      <c r="N298" t="s">
        <v>29</v>
      </c>
      <c r="O298">
        <v>2.72</v>
      </c>
      <c r="P298">
        <v>18929.39</v>
      </c>
      <c r="R298">
        <v>408</v>
      </c>
      <c r="S298">
        <v>8253.8700000000008</v>
      </c>
      <c r="T298" t="s">
        <v>30</v>
      </c>
    </row>
    <row r="299" spans="1:20" x14ac:dyDescent="0.35">
      <c r="A299" t="s">
        <v>1175</v>
      </c>
      <c r="B299" t="s">
        <v>1176</v>
      </c>
      <c r="C299" t="s">
        <v>1177</v>
      </c>
      <c r="D299">
        <v>44864</v>
      </c>
      <c r="E299" t="s">
        <v>56</v>
      </c>
      <c r="F299">
        <v>8433.06</v>
      </c>
      <c r="G299">
        <v>1280.21</v>
      </c>
      <c r="H299" t="s">
        <v>35</v>
      </c>
      <c r="I299">
        <v>40</v>
      </c>
      <c r="J299" t="s">
        <v>42</v>
      </c>
      <c r="K299" t="s">
        <v>36</v>
      </c>
      <c r="L299" t="s">
        <v>1178</v>
      </c>
      <c r="M299" t="s">
        <v>52</v>
      </c>
      <c r="N299" t="s">
        <v>44</v>
      </c>
      <c r="O299">
        <v>2.6</v>
      </c>
      <c r="Q299">
        <v>15</v>
      </c>
      <c r="R299">
        <v>816</v>
      </c>
      <c r="S299">
        <v>2596.08</v>
      </c>
      <c r="T299" t="s">
        <v>63</v>
      </c>
    </row>
    <row r="300" spans="1:20" x14ac:dyDescent="0.35">
      <c r="A300" t="s">
        <v>1179</v>
      </c>
      <c r="B300" t="s">
        <v>1180</v>
      </c>
      <c r="C300" t="s">
        <v>1181</v>
      </c>
      <c r="D300">
        <v>44666</v>
      </c>
      <c r="E300" t="s">
        <v>71</v>
      </c>
      <c r="F300">
        <v>5844.19</v>
      </c>
      <c r="G300">
        <v>23825.46</v>
      </c>
      <c r="H300" t="s">
        <v>49</v>
      </c>
      <c r="I300">
        <v>69</v>
      </c>
      <c r="J300" t="s">
        <v>42</v>
      </c>
      <c r="K300" t="s">
        <v>36</v>
      </c>
      <c r="L300" t="s">
        <v>1182</v>
      </c>
      <c r="M300" t="s">
        <v>28</v>
      </c>
      <c r="N300" t="s">
        <v>29</v>
      </c>
      <c r="O300">
        <v>1.74</v>
      </c>
      <c r="R300">
        <v>323</v>
      </c>
      <c r="S300">
        <v>2094.2800000000002</v>
      </c>
      <c r="T300" t="s">
        <v>30</v>
      </c>
    </row>
    <row r="301" spans="1:20" x14ac:dyDescent="0.35">
      <c r="A301" t="s">
        <v>1183</v>
      </c>
      <c r="B301" t="s">
        <v>1184</v>
      </c>
      <c r="C301" t="s">
        <v>1185</v>
      </c>
      <c r="D301">
        <v>44842</v>
      </c>
      <c r="E301" t="s">
        <v>23</v>
      </c>
      <c r="F301">
        <v>5640.92</v>
      </c>
      <c r="G301">
        <v>28986.95</v>
      </c>
      <c r="H301" t="s">
        <v>24</v>
      </c>
      <c r="I301">
        <v>66</v>
      </c>
      <c r="J301" t="s">
        <v>42</v>
      </c>
      <c r="K301" t="s">
        <v>36</v>
      </c>
      <c r="L301" t="s">
        <v>645</v>
      </c>
      <c r="M301" t="s">
        <v>38</v>
      </c>
      <c r="N301" t="s">
        <v>62</v>
      </c>
      <c r="O301">
        <v>2.58</v>
      </c>
      <c r="Q301">
        <v>2</v>
      </c>
      <c r="R301">
        <v>520</v>
      </c>
      <c r="S301">
        <v>14844.88</v>
      </c>
      <c r="T301" t="s">
        <v>45</v>
      </c>
    </row>
    <row r="302" spans="1:20" x14ac:dyDescent="0.35">
      <c r="A302" t="s">
        <v>1186</v>
      </c>
      <c r="B302" t="s">
        <v>1187</v>
      </c>
      <c r="C302" t="s">
        <v>1188</v>
      </c>
      <c r="D302">
        <v>44579</v>
      </c>
      <c r="E302" t="s">
        <v>56</v>
      </c>
      <c r="F302">
        <v>1142.07</v>
      </c>
      <c r="G302">
        <v>15897.48</v>
      </c>
      <c r="H302" t="s">
        <v>49</v>
      </c>
      <c r="I302">
        <v>28</v>
      </c>
      <c r="J302" t="s">
        <v>25</v>
      </c>
      <c r="K302" t="s">
        <v>36</v>
      </c>
      <c r="L302" t="s">
        <v>1189</v>
      </c>
      <c r="M302" t="s">
        <v>28</v>
      </c>
      <c r="N302" t="s">
        <v>44</v>
      </c>
      <c r="O302">
        <v>1.7</v>
      </c>
      <c r="Q302">
        <v>9</v>
      </c>
      <c r="R302">
        <v>614</v>
      </c>
      <c r="S302">
        <v>10564.85</v>
      </c>
      <c r="T302" t="s">
        <v>30</v>
      </c>
    </row>
    <row r="303" spans="1:20" x14ac:dyDescent="0.35">
      <c r="A303" t="s">
        <v>1190</v>
      </c>
      <c r="B303" t="s">
        <v>1191</v>
      </c>
      <c r="C303" t="s">
        <v>1192</v>
      </c>
      <c r="D303">
        <v>44681</v>
      </c>
      <c r="E303" t="s">
        <v>56</v>
      </c>
      <c r="F303">
        <v>1756.86</v>
      </c>
      <c r="G303">
        <v>16587.12</v>
      </c>
      <c r="H303" t="s">
        <v>100</v>
      </c>
      <c r="I303">
        <v>19</v>
      </c>
      <c r="J303" t="s">
        <v>25</v>
      </c>
      <c r="K303" t="s">
        <v>50</v>
      </c>
      <c r="L303" t="s">
        <v>1193</v>
      </c>
      <c r="M303" t="s">
        <v>52</v>
      </c>
      <c r="N303" t="s">
        <v>62</v>
      </c>
      <c r="O303">
        <v>4.4000000000000004</v>
      </c>
      <c r="R303">
        <v>593</v>
      </c>
      <c r="S303">
        <v>6750.28</v>
      </c>
      <c r="T303" t="s">
        <v>63</v>
      </c>
    </row>
    <row r="304" spans="1:20" x14ac:dyDescent="0.35">
      <c r="A304" t="s">
        <v>1194</v>
      </c>
      <c r="B304" t="s">
        <v>1195</v>
      </c>
      <c r="C304" t="s">
        <v>1196</v>
      </c>
      <c r="D304">
        <v>44924</v>
      </c>
      <c r="E304" t="s">
        <v>71</v>
      </c>
      <c r="F304">
        <v>9723.0499999999993</v>
      </c>
      <c r="G304">
        <v>48096.81</v>
      </c>
      <c r="H304" t="s">
        <v>100</v>
      </c>
      <c r="I304">
        <v>43</v>
      </c>
      <c r="J304" t="s">
        <v>25</v>
      </c>
      <c r="K304" t="s">
        <v>36</v>
      </c>
      <c r="L304" t="s">
        <v>1197</v>
      </c>
      <c r="M304" t="s">
        <v>28</v>
      </c>
      <c r="N304" t="s">
        <v>29</v>
      </c>
      <c r="O304">
        <v>2.19</v>
      </c>
      <c r="P304">
        <v>47703.98</v>
      </c>
      <c r="R304">
        <v>309</v>
      </c>
      <c r="S304">
        <v>8115.62</v>
      </c>
      <c r="T304" t="s">
        <v>63</v>
      </c>
    </row>
    <row r="305" spans="1:20" x14ac:dyDescent="0.35">
      <c r="A305" t="s">
        <v>1198</v>
      </c>
      <c r="B305" t="s">
        <v>1199</v>
      </c>
      <c r="C305" t="s">
        <v>1200</v>
      </c>
      <c r="D305">
        <v>44665</v>
      </c>
      <c r="E305" t="s">
        <v>23</v>
      </c>
      <c r="F305">
        <v>2362.02</v>
      </c>
      <c r="G305">
        <v>44693.83</v>
      </c>
      <c r="H305" t="s">
        <v>35</v>
      </c>
      <c r="I305">
        <v>53</v>
      </c>
      <c r="J305" t="s">
        <v>42</v>
      </c>
      <c r="K305" t="s">
        <v>26</v>
      </c>
      <c r="L305" t="s">
        <v>1201</v>
      </c>
      <c r="M305" t="s">
        <v>28</v>
      </c>
      <c r="N305" t="s">
        <v>44</v>
      </c>
      <c r="O305">
        <v>3.39</v>
      </c>
      <c r="P305">
        <v>43137.53</v>
      </c>
      <c r="Q305">
        <v>23</v>
      </c>
      <c r="R305">
        <v>780</v>
      </c>
      <c r="S305">
        <v>5465.15</v>
      </c>
      <c r="T305" t="s">
        <v>45</v>
      </c>
    </row>
    <row r="306" spans="1:20" x14ac:dyDescent="0.35">
      <c r="A306" t="s">
        <v>1202</v>
      </c>
      <c r="B306" t="s">
        <v>1203</v>
      </c>
      <c r="C306" t="s">
        <v>1204</v>
      </c>
      <c r="D306">
        <v>44619</v>
      </c>
      <c r="E306" t="s">
        <v>23</v>
      </c>
      <c r="F306">
        <v>9776.7800000000007</v>
      </c>
      <c r="G306">
        <v>42609.77</v>
      </c>
      <c r="H306" t="s">
        <v>125</v>
      </c>
      <c r="I306">
        <v>50</v>
      </c>
      <c r="J306" t="s">
        <v>25</v>
      </c>
      <c r="K306" t="s">
        <v>26</v>
      </c>
      <c r="L306" t="s">
        <v>1205</v>
      </c>
      <c r="M306" t="s">
        <v>52</v>
      </c>
      <c r="N306" t="s">
        <v>44</v>
      </c>
      <c r="O306">
        <v>3.01</v>
      </c>
      <c r="P306">
        <v>19986.77</v>
      </c>
      <c r="R306">
        <v>566</v>
      </c>
      <c r="S306">
        <v>6483.36</v>
      </c>
      <c r="T306" t="s">
        <v>63</v>
      </c>
    </row>
    <row r="307" spans="1:20" x14ac:dyDescent="0.35">
      <c r="A307" t="s">
        <v>1206</v>
      </c>
      <c r="B307" t="s">
        <v>1207</v>
      </c>
      <c r="C307" t="s">
        <v>1208</v>
      </c>
      <c r="D307">
        <v>45001</v>
      </c>
      <c r="E307" t="s">
        <v>56</v>
      </c>
      <c r="F307">
        <v>5365.94</v>
      </c>
      <c r="G307">
        <v>20894.580000000002</v>
      </c>
      <c r="H307" t="s">
        <v>24</v>
      </c>
      <c r="I307">
        <v>64</v>
      </c>
      <c r="J307" t="s">
        <v>42</v>
      </c>
      <c r="K307" t="s">
        <v>26</v>
      </c>
      <c r="L307" t="s">
        <v>1209</v>
      </c>
      <c r="M307" t="s">
        <v>52</v>
      </c>
      <c r="N307" t="s">
        <v>29</v>
      </c>
      <c r="O307">
        <v>1.21</v>
      </c>
      <c r="Q307">
        <v>11</v>
      </c>
      <c r="R307">
        <v>387</v>
      </c>
      <c r="S307">
        <v>10437.58</v>
      </c>
      <c r="T307" t="s">
        <v>30</v>
      </c>
    </row>
    <row r="308" spans="1:20" x14ac:dyDescent="0.35">
      <c r="A308" t="s">
        <v>1210</v>
      </c>
      <c r="B308" t="s">
        <v>1211</v>
      </c>
      <c r="C308" t="s">
        <v>1212</v>
      </c>
      <c r="D308">
        <v>44900</v>
      </c>
      <c r="E308" t="s">
        <v>71</v>
      </c>
      <c r="F308">
        <v>1444.31</v>
      </c>
      <c r="G308">
        <v>1671.23</v>
      </c>
      <c r="H308" t="s">
        <v>24</v>
      </c>
      <c r="I308">
        <v>30</v>
      </c>
      <c r="J308" t="s">
        <v>25</v>
      </c>
      <c r="K308" t="s">
        <v>36</v>
      </c>
      <c r="L308" t="s">
        <v>1213</v>
      </c>
      <c r="M308" t="s">
        <v>38</v>
      </c>
      <c r="N308" t="s">
        <v>29</v>
      </c>
      <c r="O308">
        <v>4.7699999999999996</v>
      </c>
      <c r="P308">
        <v>24049.7</v>
      </c>
      <c r="Q308">
        <v>13</v>
      </c>
      <c r="R308">
        <v>754</v>
      </c>
      <c r="S308">
        <v>13476.55</v>
      </c>
      <c r="T308" t="s">
        <v>30</v>
      </c>
    </row>
    <row r="309" spans="1:20" x14ac:dyDescent="0.35">
      <c r="A309" t="s">
        <v>1214</v>
      </c>
      <c r="B309" t="s">
        <v>1215</v>
      </c>
      <c r="C309" t="s">
        <v>1216</v>
      </c>
      <c r="D309">
        <v>44797</v>
      </c>
      <c r="E309" t="s">
        <v>34</v>
      </c>
      <c r="F309">
        <v>1083.0899999999999</v>
      </c>
      <c r="G309">
        <v>4930.8900000000003</v>
      </c>
      <c r="H309" t="s">
        <v>125</v>
      </c>
      <c r="I309">
        <v>57</v>
      </c>
      <c r="J309" t="s">
        <v>25</v>
      </c>
      <c r="K309" t="s">
        <v>26</v>
      </c>
      <c r="L309" t="s">
        <v>1217</v>
      </c>
      <c r="M309" t="s">
        <v>28</v>
      </c>
      <c r="N309" t="s">
        <v>44</v>
      </c>
      <c r="O309">
        <v>3.11</v>
      </c>
      <c r="Q309">
        <v>11</v>
      </c>
      <c r="R309">
        <v>832</v>
      </c>
      <c r="S309">
        <v>4393.6899999999996</v>
      </c>
      <c r="T309" t="s">
        <v>63</v>
      </c>
    </row>
    <row r="310" spans="1:20" x14ac:dyDescent="0.35">
      <c r="A310" t="s">
        <v>1218</v>
      </c>
      <c r="B310" t="s">
        <v>1219</v>
      </c>
      <c r="C310" t="s">
        <v>1220</v>
      </c>
      <c r="D310">
        <v>44660</v>
      </c>
      <c r="E310" t="s">
        <v>34</v>
      </c>
      <c r="F310">
        <v>2167.75</v>
      </c>
      <c r="G310">
        <v>16297.62</v>
      </c>
      <c r="H310" t="s">
        <v>100</v>
      </c>
      <c r="I310">
        <v>42</v>
      </c>
      <c r="J310" t="s">
        <v>42</v>
      </c>
      <c r="K310" t="s">
        <v>50</v>
      </c>
      <c r="L310" t="s">
        <v>1221</v>
      </c>
      <c r="M310" t="s">
        <v>52</v>
      </c>
      <c r="N310" t="s">
        <v>44</v>
      </c>
      <c r="O310">
        <v>2.2999999999999998</v>
      </c>
      <c r="R310">
        <v>447</v>
      </c>
      <c r="S310">
        <v>12924.7</v>
      </c>
      <c r="T310" t="s">
        <v>45</v>
      </c>
    </row>
    <row r="311" spans="1:20" x14ac:dyDescent="0.35">
      <c r="A311" t="s">
        <v>1222</v>
      </c>
      <c r="B311" t="s">
        <v>1223</v>
      </c>
      <c r="C311" t="s">
        <v>1224</v>
      </c>
      <c r="D311">
        <v>44660</v>
      </c>
      <c r="E311" t="s">
        <v>23</v>
      </c>
      <c r="F311">
        <v>9263.81</v>
      </c>
      <c r="G311">
        <v>1771.4</v>
      </c>
      <c r="H311" t="s">
        <v>100</v>
      </c>
      <c r="I311">
        <v>21</v>
      </c>
      <c r="J311" t="s">
        <v>25</v>
      </c>
      <c r="K311" t="s">
        <v>36</v>
      </c>
      <c r="L311" t="s">
        <v>1225</v>
      </c>
      <c r="M311" t="s">
        <v>52</v>
      </c>
      <c r="N311" t="s">
        <v>29</v>
      </c>
      <c r="O311">
        <v>1.63</v>
      </c>
      <c r="Q311">
        <v>8</v>
      </c>
      <c r="R311">
        <v>730</v>
      </c>
      <c r="S311">
        <v>3580.24</v>
      </c>
      <c r="T311" t="s">
        <v>45</v>
      </c>
    </row>
    <row r="312" spans="1:20" x14ac:dyDescent="0.35">
      <c r="A312" t="s">
        <v>1226</v>
      </c>
      <c r="B312" t="s">
        <v>1227</v>
      </c>
      <c r="C312" t="s">
        <v>1228</v>
      </c>
      <c r="D312">
        <v>45034</v>
      </c>
      <c r="E312" t="s">
        <v>34</v>
      </c>
      <c r="F312">
        <v>4200.09</v>
      </c>
      <c r="G312">
        <v>1840.34</v>
      </c>
      <c r="H312" t="s">
        <v>49</v>
      </c>
      <c r="I312">
        <v>59</v>
      </c>
      <c r="J312" t="s">
        <v>25</v>
      </c>
      <c r="K312" t="s">
        <v>26</v>
      </c>
      <c r="L312" t="s">
        <v>1229</v>
      </c>
      <c r="M312" t="s">
        <v>28</v>
      </c>
      <c r="N312" t="s">
        <v>62</v>
      </c>
      <c r="O312">
        <v>2.35</v>
      </c>
      <c r="Q312">
        <v>7</v>
      </c>
      <c r="R312">
        <v>541</v>
      </c>
      <c r="S312">
        <v>4794.8999999999996</v>
      </c>
      <c r="T312" t="s">
        <v>30</v>
      </c>
    </row>
    <row r="313" spans="1:20" x14ac:dyDescent="0.35">
      <c r="A313" t="s">
        <v>1230</v>
      </c>
      <c r="B313" t="s">
        <v>1231</v>
      </c>
      <c r="C313" t="s">
        <v>1232</v>
      </c>
      <c r="D313">
        <v>44957</v>
      </c>
      <c r="E313" t="s">
        <v>23</v>
      </c>
      <c r="F313">
        <v>4014.8</v>
      </c>
      <c r="G313">
        <v>45913.56</v>
      </c>
      <c r="H313" t="s">
        <v>35</v>
      </c>
      <c r="I313">
        <v>36</v>
      </c>
      <c r="J313" t="s">
        <v>25</v>
      </c>
      <c r="K313" t="s">
        <v>50</v>
      </c>
      <c r="L313" t="s">
        <v>92</v>
      </c>
      <c r="M313" t="s">
        <v>52</v>
      </c>
      <c r="N313" t="s">
        <v>44</v>
      </c>
      <c r="O313">
        <v>1.08</v>
      </c>
      <c r="P313">
        <v>22973.07</v>
      </c>
      <c r="Q313">
        <v>25</v>
      </c>
      <c r="R313">
        <v>365</v>
      </c>
      <c r="S313">
        <v>2483.2800000000002</v>
      </c>
      <c r="T313" t="s">
        <v>63</v>
      </c>
    </row>
    <row r="314" spans="1:20" x14ac:dyDescent="0.35">
      <c r="A314" t="s">
        <v>1233</v>
      </c>
      <c r="B314" t="s">
        <v>1234</v>
      </c>
      <c r="C314" t="s">
        <v>1235</v>
      </c>
      <c r="D314">
        <v>44987</v>
      </c>
      <c r="E314" t="s">
        <v>23</v>
      </c>
      <c r="F314">
        <v>3200.74</v>
      </c>
      <c r="G314">
        <v>35601.769999999997</v>
      </c>
      <c r="H314" t="s">
        <v>35</v>
      </c>
      <c r="I314">
        <v>35</v>
      </c>
      <c r="J314" t="s">
        <v>42</v>
      </c>
      <c r="K314" t="s">
        <v>50</v>
      </c>
      <c r="L314" t="s">
        <v>1236</v>
      </c>
      <c r="M314" t="s">
        <v>38</v>
      </c>
      <c r="N314" t="s">
        <v>29</v>
      </c>
      <c r="O314">
        <v>2.4500000000000002</v>
      </c>
      <c r="P314">
        <v>34025.440000000002</v>
      </c>
      <c r="Q314">
        <v>16</v>
      </c>
      <c r="R314">
        <v>677</v>
      </c>
      <c r="S314">
        <v>3830.55</v>
      </c>
      <c r="T314" t="s">
        <v>30</v>
      </c>
    </row>
    <row r="315" spans="1:20" x14ac:dyDescent="0.35">
      <c r="A315" t="s">
        <v>1237</v>
      </c>
      <c r="B315" t="s">
        <v>1238</v>
      </c>
      <c r="C315" t="s">
        <v>1239</v>
      </c>
      <c r="D315">
        <v>44614</v>
      </c>
      <c r="E315" t="s">
        <v>23</v>
      </c>
      <c r="F315">
        <v>1555.91</v>
      </c>
      <c r="G315">
        <v>16138.84</v>
      </c>
      <c r="H315" t="s">
        <v>35</v>
      </c>
      <c r="I315">
        <v>54</v>
      </c>
      <c r="J315" t="s">
        <v>25</v>
      </c>
      <c r="K315" t="s">
        <v>26</v>
      </c>
      <c r="L315" t="s">
        <v>917</v>
      </c>
      <c r="M315" t="s">
        <v>38</v>
      </c>
      <c r="N315" t="s">
        <v>62</v>
      </c>
      <c r="O315">
        <v>3.13</v>
      </c>
      <c r="P315">
        <v>22793.23</v>
      </c>
      <c r="R315">
        <v>687</v>
      </c>
      <c r="S315">
        <v>13924.94</v>
      </c>
      <c r="T315" t="s">
        <v>30</v>
      </c>
    </row>
    <row r="316" spans="1:20" x14ac:dyDescent="0.35">
      <c r="A316" t="s">
        <v>1240</v>
      </c>
      <c r="B316" t="s">
        <v>1241</v>
      </c>
      <c r="C316" t="s">
        <v>1242</v>
      </c>
      <c r="D316">
        <v>44614</v>
      </c>
      <c r="E316" t="s">
        <v>34</v>
      </c>
      <c r="F316">
        <v>4929.7299999999996</v>
      </c>
      <c r="G316">
        <v>7499.58</v>
      </c>
      <c r="H316" t="s">
        <v>49</v>
      </c>
      <c r="I316">
        <v>47</v>
      </c>
      <c r="J316" t="s">
        <v>42</v>
      </c>
      <c r="K316" t="s">
        <v>50</v>
      </c>
      <c r="L316" t="s">
        <v>1243</v>
      </c>
      <c r="M316" t="s">
        <v>28</v>
      </c>
      <c r="N316" t="s">
        <v>44</v>
      </c>
      <c r="O316">
        <v>4.49</v>
      </c>
      <c r="P316">
        <v>41800.81</v>
      </c>
      <c r="R316">
        <v>508</v>
      </c>
      <c r="S316">
        <v>7972.7</v>
      </c>
      <c r="T316" t="s">
        <v>30</v>
      </c>
    </row>
    <row r="317" spans="1:20" x14ac:dyDescent="0.35">
      <c r="A317" t="s">
        <v>1244</v>
      </c>
      <c r="B317" t="s">
        <v>1245</v>
      </c>
      <c r="C317" t="s">
        <v>1246</v>
      </c>
      <c r="D317">
        <v>44908</v>
      </c>
      <c r="E317" t="s">
        <v>23</v>
      </c>
      <c r="F317">
        <v>1387.47</v>
      </c>
      <c r="G317">
        <v>26070.15</v>
      </c>
      <c r="H317" t="s">
        <v>35</v>
      </c>
      <c r="I317">
        <v>36</v>
      </c>
      <c r="J317" t="s">
        <v>25</v>
      </c>
      <c r="K317" t="s">
        <v>26</v>
      </c>
      <c r="L317" t="s">
        <v>803</v>
      </c>
      <c r="M317" t="s">
        <v>38</v>
      </c>
      <c r="N317" t="s">
        <v>44</v>
      </c>
      <c r="O317">
        <v>3.75</v>
      </c>
      <c r="P317">
        <v>30552.84</v>
      </c>
      <c r="R317">
        <v>714</v>
      </c>
      <c r="S317">
        <v>3009.66</v>
      </c>
      <c r="T317" t="s">
        <v>45</v>
      </c>
    </row>
    <row r="318" spans="1:20" x14ac:dyDescent="0.35">
      <c r="A318" t="s">
        <v>1247</v>
      </c>
      <c r="B318" t="s">
        <v>1248</v>
      </c>
      <c r="C318" t="s">
        <v>1249</v>
      </c>
      <c r="D318">
        <v>44876</v>
      </c>
      <c r="E318" t="s">
        <v>56</v>
      </c>
      <c r="F318">
        <v>8371.25</v>
      </c>
      <c r="G318">
        <v>1261.96</v>
      </c>
      <c r="H318" t="s">
        <v>125</v>
      </c>
      <c r="I318">
        <v>40</v>
      </c>
      <c r="J318" t="s">
        <v>25</v>
      </c>
      <c r="K318" t="s">
        <v>50</v>
      </c>
      <c r="L318" t="s">
        <v>1250</v>
      </c>
      <c r="M318" t="s">
        <v>52</v>
      </c>
      <c r="N318" t="s">
        <v>29</v>
      </c>
      <c r="O318">
        <v>1.45</v>
      </c>
      <c r="R318">
        <v>315</v>
      </c>
      <c r="S318">
        <v>14476.45</v>
      </c>
      <c r="T318" t="s">
        <v>63</v>
      </c>
    </row>
    <row r="319" spans="1:20" x14ac:dyDescent="0.35">
      <c r="A319" t="s">
        <v>1251</v>
      </c>
      <c r="B319" t="s">
        <v>1252</v>
      </c>
      <c r="C319" t="s">
        <v>1253</v>
      </c>
      <c r="D319">
        <v>44636</v>
      </c>
      <c r="E319" t="s">
        <v>71</v>
      </c>
      <c r="F319">
        <v>3766.93</v>
      </c>
      <c r="G319">
        <v>46982.27</v>
      </c>
      <c r="H319" t="s">
        <v>49</v>
      </c>
      <c r="I319">
        <v>33</v>
      </c>
      <c r="J319" t="s">
        <v>25</v>
      </c>
      <c r="K319" t="s">
        <v>36</v>
      </c>
      <c r="L319" t="s">
        <v>1254</v>
      </c>
      <c r="M319" t="s">
        <v>52</v>
      </c>
      <c r="N319" t="s">
        <v>62</v>
      </c>
      <c r="O319">
        <v>1.59</v>
      </c>
      <c r="P319">
        <v>12954.06</v>
      </c>
      <c r="Q319">
        <v>27</v>
      </c>
      <c r="R319">
        <v>596</v>
      </c>
      <c r="S319">
        <v>13426.9</v>
      </c>
      <c r="T319" t="s">
        <v>63</v>
      </c>
    </row>
    <row r="320" spans="1:20" x14ac:dyDescent="0.35">
      <c r="A320" t="s">
        <v>1255</v>
      </c>
      <c r="B320" t="s">
        <v>1256</v>
      </c>
      <c r="C320" t="s">
        <v>1257</v>
      </c>
      <c r="D320">
        <v>44960</v>
      </c>
      <c r="E320" t="s">
        <v>71</v>
      </c>
      <c r="F320">
        <v>3810.56</v>
      </c>
      <c r="G320">
        <v>21325.94</v>
      </c>
      <c r="H320" t="s">
        <v>125</v>
      </c>
      <c r="I320">
        <v>18</v>
      </c>
      <c r="J320" t="s">
        <v>25</v>
      </c>
      <c r="K320" t="s">
        <v>36</v>
      </c>
      <c r="L320" t="s">
        <v>605</v>
      </c>
      <c r="M320" t="s">
        <v>52</v>
      </c>
      <c r="N320" t="s">
        <v>44</v>
      </c>
      <c r="O320">
        <v>2.71</v>
      </c>
      <c r="Q320">
        <v>15</v>
      </c>
      <c r="R320">
        <v>519</v>
      </c>
      <c r="S320">
        <v>11810.87</v>
      </c>
      <c r="T320" t="s">
        <v>45</v>
      </c>
    </row>
    <row r="321" spans="1:20" x14ac:dyDescent="0.35">
      <c r="A321" t="s">
        <v>1258</v>
      </c>
      <c r="B321" t="s">
        <v>1259</v>
      </c>
      <c r="C321" t="s">
        <v>1260</v>
      </c>
      <c r="D321">
        <v>45083</v>
      </c>
      <c r="E321" t="s">
        <v>23</v>
      </c>
      <c r="F321">
        <v>4792.66</v>
      </c>
      <c r="G321">
        <v>20714.41</v>
      </c>
      <c r="H321" t="s">
        <v>49</v>
      </c>
      <c r="I321">
        <v>29</v>
      </c>
      <c r="J321" t="s">
        <v>42</v>
      </c>
      <c r="K321" t="s">
        <v>36</v>
      </c>
      <c r="L321" t="s">
        <v>1074</v>
      </c>
      <c r="M321" t="s">
        <v>52</v>
      </c>
      <c r="N321" t="s">
        <v>62</v>
      </c>
      <c r="O321">
        <v>1.78</v>
      </c>
      <c r="Q321">
        <v>28</v>
      </c>
      <c r="R321">
        <v>666</v>
      </c>
      <c r="S321">
        <v>14135.15</v>
      </c>
      <c r="T321" t="s">
        <v>30</v>
      </c>
    </row>
    <row r="322" spans="1:20" x14ac:dyDescent="0.35">
      <c r="A322" t="s">
        <v>1261</v>
      </c>
      <c r="B322" t="s">
        <v>1262</v>
      </c>
      <c r="C322" t="s">
        <v>1263</v>
      </c>
      <c r="D322">
        <v>44853</v>
      </c>
      <c r="E322" t="s">
        <v>71</v>
      </c>
      <c r="F322">
        <v>4496.8599999999997</v>
      </c>
      <c r="G322">
        <v>20139.09</v>
      </c>
      <c r="H322" t="s">
        <v>35</v>
      </c>
      <c r="I322">
        <v>41</v>
      </c>
      <c r="J322" t="s">
        <v>25</v>
      </c>
      <c r="K322" t="s">
        <v>36</v>
      </c>
      <c r="L322" t="s">
        <v>1264</v>
      </c>
      <c r="M322" t="s">
        <v>28</v>
      </c>
      <c r="N322" t="s">
        <v>62</v>
      </c>
      <c r="O322">
        <v>1.1100000000000001</v>
      </c>
      <c r="Q322">
        <v>17</v>
      </c>
      <c r="R322">
        <v>528</v>
      </c>
      <c r="S322">
        <v>4861.68</v>
      </c>
      <c r="T322" t="s">
        <v>30</v>
      </c>
    </row>
    <row r="323" spans="1:20" x14ac:dyDescent="0.35">
      <c r="A323" t="s">
        <v>1265</v>
      </c>
      <c r="B323" t="s">
        <v>1266</v>
      </c>
      <c r="C323" t="s">
        <v>1267</v>
      </c>
      <c r="D323">
        <v>44798</v>
      </c>
      <c r="E323" t="s">
        <v>34</v>
      </c>
      <c r="F323">
        <v>9949.09</v>
      </c>
      <c r="G323">
        <v>4397.09</v>
      </c>
      <c r="H323" t="s">
        <v>125</v>
      </c>
      <c r="I323">
        <v>51</v>
      </c>
      <c r="J323" t="s">
        <v>42</v>
      </c>
      <c r="K323" t="s">
        <v>36</v>
      </c>
      <c r="L323" t="s">
        <v>1268</v>
      </c>
      <c r="M323" t="s">
        <v>38</v>
      </c>
      <c r="N323" t="s">
        <v>44</v>
      </c>
      <c r="O323">
        <v>4.22</v>
      </c>
      <c r="P323">
        <v>8259</v>
      </c>
      <c r="Q323">
        <v>11</v>
      </c>
      <c r="R323">
        <v>739</v>
      </c>
      <c r="S323">
        <v>12872.8</v>
      </c>
      <c r="T323" t="s">
        <v>45</v>
      </c>
    </row>
    <row r="324" spans="1:20" x14ac:dyDescent="0.35">
      <c r="A324" t="s">
        <v>1269</v>
      </c>
      <c r="B324" t="s">
        <v>1270</v>
      </c>
      <c r="C324" t="s">
        <v>1271</v>
      </c>
      <c r="D324">
        <v>45088</v>
      </c>
      <c r="E324" t="s">
        <v>34</v>
      </c>
      <c r="F324">
        <v>5499.27</v>
      </c>
      <c r="G324">
        <v>32277.79</v>
      </c>
      <c r="H324" t="s">
        <v>125</v>
      </c>
      <c r="I324">
        <v>25</v>
      </c>
      <c r="J324" t="s">
        <v>42</v>
      </c>
      <c r="K324" t="s">
        <v>26</v>
      </c>
      <c r="L324" t="s">
        <v>1272</v>
      </c>
      <c r="M324" t="s">
        <v>38</v>
      </c>
      <c r="N324" t="s">
        <v>62</v>
      </c>
      <c r="O324">
        <v>1.08</v>
      </c>
      <c r="Q324">
        <v>5</v>
      </c>
      <c r="R324">
        <v>831</v>
      </c>
      <c r="S324">
        <v>10969.89</v>
      </c>
      <c r="T324" t="s">
        <v>63</v>
      </c>
    </row>
    <row r="325" spans="1:20" x14ac:dyDescent="0.35">
      <c r="A325" t="s">
        <v>1273</v>
      </c>
      <c r="B325" t="s">
        <v>1274</v>
      </c>
      <c r="C325" t="s">
        <v>1275</v>
      </c>
      <c r="D325">
        <v>44969</v>
      </c>
      <c r="E325" t="s">
        <v>71</v>
      </c>
      <c r="F325">
        <v>973.2</v>
      </c>
      <c r="G325">
        <v>36917.18</v>
      </c>
      <c r="H325" t="s">
        <v>125</v>
      </c>
      <c r="I325">
        <v>35</v>
      </c>
      <c r="J325" t="s">
        <v>25</v>
      </c>
      <c r="K325" t="s">
        <v>36</v>
      </c>
      <c r="L325" t="s">
        <v>84</v>
      </c>
      <c r="M325" t="s">
        <v>52</v>
      </c>
      <c r="N325" t="s">
        <v>44</v>
      </c>
      <c r="O325">
        <v>4.32</v>
      </c>
      <c r="R325">
        <v>749</v>
      </c>
      <c r="S325">
        <v>13306.87</v>
      </c>
      <c r="T325" t="s">
        <v>45</v>
      </c>
    </row>
    <row r="326" spans="1:20" x14ac:dyDescent="0.35">
      <c r="A326" t="s">
        <v>1276</v>
      </c>
      <c r="B326" t="s">
        <v>1277</v>
      </c>
      <c r="C326" t="s">
        <v>1278</v>
      </c>
      <c r="D326">
        <v>45045</v>
      </c>
      <c r="E326" t="s">
        <v>34</v>
      </c>
      <c r="F326">
        <v>6108.09</v>
      </c>
      <c r="G326">
        <v>34130.14</v>
      </c>
      <c r="H326" t="s">
        <v>49</v>
      </c>
      <c r="I326">
        <v>65</v>
      </c>
      <c r="J326" t="s">
        <v>25</v>
      </c>
      <c r="K326" t="s">
        <v>36</v>
      </c>
      <c r="L326" t="s">
        <v>150</v>
      </c>
      <c r="M326" t="s">
        <v>28</v>
      </c>
      <c r="N326" t="s">
        <v>62</v>
      </c>
      <c r="O326">
        <v>1.58</v>
      </c>
      <c r="P326">
        <v>29922.81</v>
      </c>
      <c r="Q326">
        <v>15</v>
      </c>
      <c r="R326">
        <v>335</v>
      </c>
      <c r="S326">
        <v>12359.85</v>
      </c>
      <c r="T326" t="s">
        <v>63</v>
      </c>
    </row>
    <row r="327" spans="1:20" x14ac:dyDescent="0.35">
      <c r="A327" t="s">
        <v>1279</v>
      </c>
      <c r="B327" t="s">
        <v>1280</v>
      </c>
      <c r="C327" t="s">
        <v>1281</v>
      </c>
      <c r="D327">
        <v>45066</v>
      </c>
      <c r="E327" t="s">
        <v>71</v>
      </c>
      <c r="F327">
        <v>1600.68</v>
      </c>
      <c r="G327">
        <v>7783.34</v>
      </c>
      <c r="H327" t="s">
        <v>24</v>
      </c>
      <c r="I327">
        <v>22</v>
      </c>
      <c r="J327" t="s">
        <v>42</v>
      </c>
      <c r="K327" t="s">
        <v>36</v>
      </c>
      <c r="L327" t="s">
        <v>1282</v>
      </c>
      <c r="M327" t="s">
        <v>52</v>
      </c>
      <c r="N327" t="s">
        <v>44</v>
      </c>
      <c r="O327">
        <v>4.9000000000000004</v>
      </c>
      <c r="Q327">
        <v>10</v>
      </c>
      <c r="R327">
        <v>721</v>
      </c>
      <c r="S327">
        <v>6504.44</v>
      </c>
      <c r="T327" t="s">
        <v>63</v>
      </c>
    </row>
    <row r="328" spans="1:20" x14ac:dyDescent="0.35">
      <c r="A328" t="s">
        <v>1283</v>
      </c>
      <c r="B328" t="s">
        <v>1284</v>
      </c>
      <c r="C328" t="s">
        <v>1285</v>
      </c>
      <c r="D328">
        <v>44688</v>
      </c>
      <c r="E328" t="s">
        <v>71</v>
      </c>
      <c r="F328">
        <v>406.28</v>
      </c>
      <c r="G328">
        <v>29363.17</v>
      </c>
      <c r="H328" t="s">
        <v>35</v>
      </c>
      <c r="I328">
        <v>43</v>
      </c>
      <c r="J328" t="s">
        <v>42</v>
      </c>
      <c r="K328" t="s">
        <v>36</v>
      </c>
      <c r="L328" t="s">
        <v>1286</v>
      </c>
      <c r="M328" t="s">
        <v>52</v>
      </c>
      <c r="N328" t="s">
        <v>29</v>
      </c>
      <c r="O328">
        <v>3.42</v>
      </c>
      <c r="Q328">
        <v>14</v>
      </c>
      <c r="R328">
        <v>488</v>
      </c>
      <c r="S328">
        <v>12067.18</v>
      </c>
      <c r="T328" t="s">
        <v>63</v>
      </c>
    </row>
    <row r="329" spans="1:20" x14ac:dyDescent="0.35">
      <c r="A329" t="s">
        <v>1287</v>
      </c>
      <c r="B329" t="s">
        <v>1288</v>
      </c>
      <c r="C329" t="s">
        <v>1289</v>
      </c>
      <c r="D329">
        <v>44714</v>
      </c>
      <c r="E329" t="s">
        <v>71</v>
      </c>
      <c r="F329">
        <v>9710.35</v>
      </c>
      <c r="G329">
        <v>28904.74</v>
      </c>
      <c r="H329" t="s">
        <v>125</v>
      </c>
      <c r="I329">
        <v>47</v>
      </c>
      <c r="J329" t="s">
        <v>25</v>
      </c>
      <c r="K329" t="s">
        <v>50</v>
      </c>
      <c r="L329" t="s">
        <v>1290</v>
      </c>
      <c r="M329" t="s">
        <v>28</v>
      </c>
      <c r="N329" t="s">
        <v>44</v>
      </c>
      <c r="O329">
        <v>3.94</v>
      </c>
      <c r="R329">
        <v>477</v>
      </c>
      <c r="S329">
        <v>5411.93</v>
      </c>
      <c r="T329" t="s">
        <v>30</v>
      </c>
    </row>
    <row r="330" spans="1:20" x14ac:dyDescent="0.35">
      <c r="A330" t="s">
        <v>1291</v>
      </c>
      <c r="B330" t="s">
        <v>1292</v>
      </c>
      <c r="C330" t="s">
        <v>1293</v>
      </c>
      <c r="D330">
        <v>44744</v>
      </c>
      <c r="E330" t="s">
        <v>23</v>
      </c>
      <c r="F330">
        <v>7758.04</v>
      </c>
      <c r="G330">
        <v>43552.13</v>
      </c>
      <c r="H330" t="s">
        <v>24</v>
      </c>
      <c r="I330">
        <v>30</v>
      </c>
      <c r="J330" t="s">
        <v>25</v>
      </c>
      <c r="K330" t="s">
        <v>36</v>
      </c>
      <c r="L330" t="s">
        <v>1294</v>
      </c>
      <c r="M330" t="s">
        <v>28</v>
      </c>
      <c r="N330" t="s">
        <v>44</v>
      </c>
      <c r="O330">
        <v>1.44</v>
      </c>
      <c r="P330">
        <v>29133.43</v>
      </c>
      <c r="Q330">
        <v>16</v>
      </c>
      <c r="R330">
        <v>614</v>
      </c>
      <c r="S330">
        <v>6271.7</v>
      </c>
      <c r="T330" t="s">
        <v>30</v>
      </c>
    </row>
    <row r="331" spans="1:20" x14ac:dyDescent="0.35">
      <c r="A331" t="s">
        <v>1295</v>
      </c>
      <c r="B331" t="s">
        <v>1296</v>
      </c>
      <c r="C331" t="s">
        <v>1297</v>
      </c>
      <c r="D331">
        <v>44733</v>
      </c>
      <c r="E331" t="s">
        <v>71</v>
      </c>
      <c r="F331">
        <v>9803.08</v>
      </c>
      <c r="G331">
        <v>19577.259999999998</v>
      </c>
      <c r="H331" t="s">
        <v>35</v>
      </c>
      <c r="I331">
        <v>36</v>
      </c>
      <c r="J331" t="s">
        <v>25</v>
      </c>
      <c r="K331" t="s">
        <v>36</v>
      </c>
      <c r="L331" t="s">
        <v>1128</v>
      </c>
      <c r="M331" t="s">
        <v>52</v>
      </c>
      <c r="N331" t="s">
        <v>44</v>
      </c>
      <c r="O331">
        <v>4.45</v>
      </c>
      <c r="Q331">
        <v>19</v>
      </c>
      <c r="R331">
        <v>319</v>
      </c>
      <c r="S331">
        <v>3402.77</v>
      </c>
      <c r="T331" t="s">
        <v>45</v>
      </c>
    </row>
    <row r="332" spans="1:20" x14ac:dyDescent="0.35">
      <c r="A332" t="s">
        <v>1298</v>
      </c>
      <c r="B332" t="s">
        <v>1299</v>
      </c>
      <c r="C332" t="s">
        <v>1300</v>
      </c>
      <c r="D332">
        <v>45098</v>
      </c>
      <c r="E332" t="s">
        <v>23</v>
      </c>
      <c r="F332">
        <v>4831</v>
      </c>
      <c r="G332">
        <v>19202.810000000001</v>
      </c>
      <c r="H332" t="s">
        <v>35</v>
      </c>
      <c r="I332">
        <v>46</v>
      </c>
      <c r="J332" t="s">
        <v>25</v>
      </c>
      <c r="K332" t="s">
        <v>26</v>
      </c>
      <c r="L332" t="s">
        <v>1301</v>
      </c>
      <c r="M332" t="s">
        <v>38</v>
      </c>
      <c r="N332" t="s">
        <v>62</v>
      </c>
      <c r="O332">
        <v>4.3600000000000003</v>
      </c>
      <c r="Q332">
        <v>8</v>
      </c>
      <c r="R332">
        <v>681</v>
      </c>
      <c r="S332">
        <v>14156</v>
      </c>
      <c r="T332" t="s">
        <v>45</v>
      </c>
    </row>
    <row r="333" spans="1:20" x14ac:dyDescent="0.35">
      <c r="A333" t="s">
        <v>1302</v>
      </c>
      <c r="B333" t="s">
        <v>1303</v>
      </c>
      <c r="C333" t="s">
        <v>1304</v>
      </c>
      <c r="D333">
        <v>44612</v>
      </c>
      <c r="E333" t="s">
        <v>71</v>
      </c>
      <c r="F333">
        <v>5369.35</v>
      </c>
      <c r="G333">
        <v>31307.83</v>
      </c>
      <c r="H333" t="s">
        <v>125</v>
      </c>
      <c r="I333">
        <v>20</v>
      </c>
      <c r="J333" t="s">
        <v>25</v>
      </c>
      <c r="K333" t="s">
        <v>50</v>
      </c>
      <c r="L333" t="s">
        <v>1305</v>
      </c>
      <c r="M333" t="s">
        <v>52</v>
      </c>
      <c r="N333" t="s">
        <v>29</v>
      </c>
      <c r="O333">
        <v>3.61</v>
      </c>
      <c r="P333">
        <v>38558.22</v>
      </c>
      <c r="R333">
        <v>442</v>
      </c>
      <c r="S333">
        <v>5783.04</v>
      </c>
      <c r="T333" t="s">
        <v>30</v>
      </c>
    </row>
    <row r="334" spans="1:20" x14ac:dyDescent="0.35">
      <c r="A334" t="s">
        <v>1306</v>
      </c>
      <c r="B334" t="s">
        <v>1307</v>
      </c>
      <c r="C334" t="s">
        <v>1308</v>
      </c>
      <c r="D334">
        <v>45057</v>
      </c>
      <c r="E334" t="s">
        <v>71</v>
      </c>
      <c r="F334">
        <v>1766.54</v>
      </c>
      <c r="G334">
        <v>32020.560000000001</v>
      </c>
      <c r="H334" t="s">
        <v>125</v>
      </c>
      <c r="I334">
        <v>43</v>
      </c>
      <c r="J334" t="s">
        <v>42</v>
      </c>
      <c r="K334" t="s">
        <v>26</v>
      </c>
      <c r="L334" t="s">
        <v>785</v>
      </c>
      <c r="M334" t="s">
        <v>38</v>
      </c>
      <c r="N334" t="s">
        <v>62</v>
      </c>
      <c r="O334">
        <v>3.01</v>
      </c>
      <c r="P334">
        <v>14237.23</v>
      </c>
      <c r="Q334">
        <v>10</v>
      </c>
      <c r="R334">
        <v>361</v>
      </c>
      <c r="S334">
        <v>8768.09</v>
      </c>
      <c r="T334" t="s">
        <v>45</v>
      </c>
    </row>
    <row r="335" spans="1:20" x14ac:dyDescent="0.35">
      <c r="A335" t="s">
        <v>1309</v>
      </c>
      <c r="B335" t="s">
        <v>1310</v>
      </c>
      <c r="C335" t="s">
        <v>1311</v>
      </c>
      <c r="D335">
        <v>45114</v>
      </c>
      <c r="E335" t="s">
        <v>71</v>
      </c>
      <c r="F335">
        <v>2544.38</v>
      </c>
      <c r="G335">
        <v>23994.98</v>
      </c>
      <c r="H335" t="s">
        <v>49</v>
      </c>
      <c r="I335">
        <v>57</v>
      </c>
      <c r="J335" t="s">
        <v>25</v>
      </c>
      <c r="K335" t="s">
        <v>36</v>
      </c>
      <c r="L335" t="s">
        <v>142</v>
      </c>
      <c r="M335" t="s">
        <v>38</v>
      </c>
      <c r="N335" t="s">
        <v>62</v>
      </c>
      <c r="O335">
        <v>3.89</v>
      </c>
      <c r="Q335">
        <v>5</v>
      </c>
      <c r="R335">
        <v>541</v>
      </c>
      <c r="S335">
        <v>7087.33</v>
      </c>
      <c r="T335" t="s">
        <v>30</v>
      </c>
    </row>
    <row r="336" spans="1:20" x14ac:dyDescent="0.35">
      <c r="A336" t="s">
        <v>1312</v>
      </c>
      <c r="B336" t="s">
        <v>1313</v>
      </c>
      <c r="C336" t="s">
        <v>1314</v>
      </c>
      <c r="D336">
        <v>44693</v>
      </c>
      <c r="E336" t="s">
        <v>34</v>
      </c>
      <c r="F336">
        <v>8401.64</v>
      </c>
      <c r="G336">
        <v>22709.91</v>
      </c>
      <c r="H336" t="s">
        <v>24</v>
      </c>
      <c r="I336">
        <v>29</v>
      </c>
      <c r="J336" t="s">
        <v>25</v>
      </c>
      <c r="K336" t="s">
        <v>26</v>
      </c>
      <c r="L336" t="s">
        <v>1264</v>
      </c>
      <c r="M336" t="s">
        <v>28</v>
      </c>
      <c r="N336" t="s">
        <v>44</v>
      </c>
      <c r="O336">
        <v>1.02</v>
      </c>
      <c r="P336">
        <v>20574.990000000002</v>
      </c>
      <c r="R336">
        <v>537</v>
      </c>
      <c r="S336">
        <v>14479.07</v>
      </c>
      <c r="T336" t="s">
        <v>30</v>
      </c>
    </row>
    <row r="337" spans="1:20" x14ac:dyDescent="0.35">
      <c r="A337" t="s">
        <v>1315</v>
      </c>
      <c r="B337" t="s">
        <v>1316</v>
      </c>
      <c r="C337" t="s">
        <v>1317</v>
      </c>
      <c r="D337">
        <v>45074</v>
      </c>
      <c r="E337" t="s">
        <v>23</v>
      </c>
      <c r="F337">
        <v>3626.24</v>
      </c>
      <c r="G337">
        <v>25213.24</v>
      </c>
      <c r="H337" t="s">
        <v>24</v>
      </c>
      <c r="I337">
        <v>19</v>
      </c>
      <c r="J337" t="s">
        <v>42</v>
      </c>
      <c r="K337" t="s">
        <v>26</v>
      </c>
      <c r="L337" t="s">
        <v>1318</v>
      </c>
      <c r="M337" t="s">
        <v>28</v>
      </c>
      <c r="N337" t="s">
        <v>62</v>
      </c>
      <c r="O337">
        <v>3.37</v>
      </c>
      <c r="P337">
        <v>38602.69</v>
      </c>
      <c r="Q337">
        <v>16</v>
      </c>
      <c r="R337">
        <v>430</v>
      </c>
      <c r="S337">
        <v>6355.64</v>
      </c>
      <c r="T337" t="s">
        <v>63</v>
      </c>
    </row>
    <row r="338" spans="1:20" x14ac:dyDescent="0.35">
      <c r="A338" t="s">
        <v>1319</v>
      </c>
      <c r="B338" t="s">
        <v>1320</v>
      </c>
      <c r="C338" t="s">
        <v>1321</v>
      </c>
      <c r="D338">
        <v>44585</v>
      </c>
      <c r="E338" t="s">
        <v>23</v>
      </c>
      <c r="F338">
        <v>8285.4699999999993</v>
      </c>
      <c r="G338">
        <v>43191.22</v>
      </c>
      <c r="H338" t="s">
        <v>125</v>
      </c>
      <c r="I338">
        <v>28</v>
      </c>
      <c r="J338" t="s">
        <v>25</v>
      </c>
      <c r="K338" t="s">
        <v>36</v>
      </c>
      <c r="L338" t="s">
        <v>1322</v>
      </c>
      <c r="M338" t="s">
        <v>52</v>
      </c>
      <c r="N338" t="s">
        <v>44</v>
      </c>
      <c r="O338">
        <v>4.3899999999999997</v>
      </c>
      <c r="P338">
        <v>43111.519999999997</v>
      </c>
      <c r="R338">
        <v>422</v>
      </c>
      <c r="S338">
        <v>12121.1</v>
      </c>
      <c r="T338" t="s">
        <v>63</v>
      </c>
    </row>
    <row r="339" spans="1:20" x14ac:dyDescent="0.35">
      <c r="A339" t="s">
        <v>1323</v>
      </c>
      <c r="B339" t="s">
        <v>1324</v>
      </c>
      <c r="C339" t="s">
        <v>1325</v>
      </c>
      <c r="D339">
        <v>44649</v>
      </c>
      <c r="E339" t="s">
        <v>71</v>
      </c>
      <c r="F339">
        <v>7119.24</v>
      </c>
      <c r="G339">
        <v>23597.18</v>
      </c>
      <c r="H339" t="s">
        <v>35</v>
      </c>
      <c r="I339">
        <v>61</v>
      </c>
      <c r="J339" t="s">
        <v>25</v>
      </c>
      <c r="K339" t="s">
        <v>50</v>
      </c>
      <c r="L339" t="s">
        <v>1326</v>
      </c>
      <c r="M339" t="s">
        <v>38</v>
      </c>
      <c r="N339" t="s">
        <v>29</v>
      </c>
      <c r="O339">
        <v>2.4300000000000002</v>
      </c>
      <c r="P339">
        <v>21937.48</v>
      </c>
      <c r="Q339">
        <v>26</v>
      </c>
      <c r="R339">
        <v>739</v>
      </c>
      <c r="S339">
        <v>13120.41</v>
      </c>
      <c r="T339" t="s">
        <v>30</v>
      </c>
    </row>
    <row r="340" spans="1:20" x14ac:dyDescent="0.35">
      <c r="A340" t="s">
        <v>1327</v>
      </c>
      <c r="B340" t="s">
        <v>1328</v>
      </c>
      <c r="C340" t="s">
        <v>1329</v>
      </c>
      <c r="D340">
        <v>45067</v>
      </c>
      <c r="E340" t="s">
        <v>71</v>
      </c>
      <c r="F340">
        <v>1853.99</v>
      </c>
      <c r="G340">
        <v>47056.66</v>
      </c>
      <c r="H340" t="s">
        <v>125</v>
      </c>
      <c r="I340">
        <v>45</v>
      </c>
      <c r="J340" t="s">
        <v>42</v>
      </c>
      <c r="K340" t="s">
        <v>50</v>
      </c>
      <c r="L340" t="s">
        <v>1330</v>
      </c>
      <c r="M340" t="s">
        <v>38</v>
      </c>
      <c r="N340" t="s">
        <v>62</v>
      </c>
      <c r="O340">
        <v>1.43</v>
      </c>
      <c r="P340">
        <v>18347.939999999999</v>
      </c>
      <c r="R340">
        <v>641</v>
      </c>
      <c r="S340">
        <v>7662.88</v>
      </c>
      <c r="T340" t="s">
        <v>63</v>
      </c>
    </row>
    <row r="341" spans="1:20" x14ac:dyDescent="0.35">
      <c r="A341" t="s">
        <v>1331</v>
      </c>
      <c r="B341" t="s">
        <v>1332</v>
      </c>
      <c r="C341" t="s">
        <v>1333</v>
      </c>
      <c r="D341">
        <v>44800</v>
      </c>
      <c r="E341" t="s">
        <v>34</v>
      </c>
      <c r="F341">
        <v>5123.72</v>
      </c>
      <c r="G341">
        <v>25696.18</v>
      </c>
      <c r="H341" t="s">
        <v>35</v>
      </c>
      <c r="I341">
        <v>35</v>
      </c>
      <c r="J341" t="s">
        <v>25</v>
      </c>
      <c r="K341" t="s">
        <v>26</v>
      </c>
      <c r="L341" t="s">
        <v>538</v>
      </c>
      <c r="M341" t="s">
        <v>52</v>
      </c>
      <c r="N341" t="s">
        <v>62</v>
      </c>
      <c r="O341">
        <v>2.68</v>
      </c>
      <c r="P341">
        <v>45025.1</v>
      </c>
      <c r="Q341">
        <v>12</v>
      </c>
      <c r="R341">
        <v>718</v>
      </c>
      <c r="S341">
        <v>6916.23</v>
      </c>
      <c r="T341" t="s">
        <v>30</v>
      </c>
    </row>
    <row r="342" spans="1:20" x14ac:dyDescent="0.35">
      <c r="A342" t="s">
        <v>1334</v>
      </c>
      <c r="B342" t="s">
        <v>1335</v>
      </c>
      <c r="C342" t="s">
        <v>1336</v>
      </c>
      <c r="D342">
        <v>44717</v>
      </c>
      <c r="E342" t="s">
        <v>34</v>
      </c>
      <c r="F342">
        <v>6806.13</v>
      </c>
      <c r="G342">
        <v>47510.83</v>
      </c>
      <c r="H342" t="s">
        <v>35</v>
      </c>
      <c r="I342">
        <v>30</v>
      </c>
      <c r="J342" t="s">
        <v>42</v>
      </c>
      <c r="K342" t="s">
        <v>36</v>
      </c>
      <c r="L342" t="s">
        <v>1337</v>
      </c>
      <c r="M342" t="s">
        <v>52</v>
      </c>
      <c r="N342" t="s">
        <v>62</v>
      </c>
      <c r="O342">
        <v>3.91</v>
      </c>
      <c r="P342">
        <v>49971.42</v>
      </c>
      <c r="Q342">
        <v>23</v>
      </c>
      <c r="R342">
        <v>754</v>
      </c>
      <c r="S342">
        <v>11720.7</v>
      </c>
      <c r="T342" t="s">
        <v>63</v>
      </c>
    </row>
    <row r="343" spans="1:20" x14ac:dyDescent="0.35">
      <c r="A343" t="s">
        <v>1338</v>
      </c>
      <c r="B343" t="s">
        <v>1339</v>
      </c>
      <c r="C343" t="s">
        <v>1340</v>
      </c>
      <c r="D343">
        <v>44709</v>
      </c>
      <c r="E343" t="s">
        <v>34</v>
      </c>
      <c r="F343">
        <v>2426.87</v>
      </c>
      <c r="G343">
        <v>41808.76</v>
      </c>
      <c r="H343" t="s">
        <v>125</v>
      </c>
      <c r="I343">
        <v>54</v>
      </c>
      <c r="J343" t="s">
        <v>25</v>
      </c>
      <c r="K343" t="s">
        <v>26</v>
      </c>
      <c r="L343" t="s">
        <v>1341</v>
      </c>
      <c r="M343" t="s">
        <v>52</v>
      </c>
      <c r="N343" t="s">
        <v>44</v>
      </c>
      <c r="O343">
        <v>1.43</v>
      </c>
      <c r="R343">
        <v>497</v>
      </c>
      <c r="S343">
        <v>13867.65</v>
      </c>
      <c r="T343" t="s">
        <v>45</v>
      </c>
    </row>
    <row r="344" spans="1:20" x14ac:dyDescent="0.35">
      <c r="A344" t="s">
        <v>1342</v>
      </c>
      <c r="B344" t="s">
        <v>1343</v>
      </c>
      <c r="C344" t="s">
        <v>1344</v>
      </c>
      <c r="D344">
        <v>44864</v>
      </c>
      <c r="E344" t="s">
        <v>23</v>
      </c>
      <c r="F344">
        <v>8323.82</v>
      </c>
      <c r="G344">
        <v>18759.13</v>
      </c>
      <c r="H344" t="s">
        <v>100</v>
      </c>
      <c r="I344">
        <v>39</v>
      </c>
      <c r="J344" t="s">
        <v>25</v>
      </c>
      <c r="K344" t="s">
        <v>26</v>
      </c>
      <c r="L344" t="s">
        <v>1093</v>
      </c>
      <c r="M344" t="s">
        <v>28</v>
      </c>
      <c r="N344" t="s">
        <v>44</v>
      </c>
      <c r="O344">
        <v>1.82</v>
      </c>
      <c r="P344">
        <v>49549.13</v>
      </c>
      <c r="Q344">
        <v>9</v>
      </c>
      <c r="R344">
        <v>581</v>
      </c>
      <c r="S344">
        <v>11814.11</v>
      </c>
      <c r="T344" t="s">
        <v>45</v>
      </c>
    </row>
    <row r="345" spans="1:20" x14ac:dyDescent="0.35">
      <c r="A345" t="s">
        <v>1345</v>
      </c>
      <c r="B345" t="s">
        <v>1346</v>
      </c>
      <c r="C345" t="s">
        <v>1347</v>
      </c>
      <c r="D345">
        <v>44683</v>
      </c>
      <c r="E345" t="s">
        <v>23</v>
      </c>
      <c r="F345">
        <v>5493.79</v>
      </c>
      <c r="G345">
        <v>43318.43</v>
      </c>
      <c r="H345" t="s">
        <v>24</v>
      </c>
      <c r="I345">
        <v>29</v>
      </c>
      <c r="J345" t="s">
        <v>25</v>
      </c>
      <c r="K345" t="s">
        <v>26</v>
      </c>
      <c r="L345" t="s">
        <v>1348</v>
      </c>
      <c r="M345" t="s">
        <v>52</v>
      </c>
      <c r="N345" t="s">
        <v>62</v>
      </c>
      <c r="O345">
        <v>1.59</v>
      </c>
      <c r="P345">
        <v>34698.480000000003</v>
      </c>
      <c r="Q345">
        <v>17</v>
      </c>
      <c r="R345">
        <v>300</v>
      </c>
      <c r="S345">
        <v>4952.6400000000003</v>
      </c>
      <c r="T345" t="s">
        <v>30</v>
      </c>
    </row>
    <row r="346" spans="1:20" x14ac:dyDescent="0.35">
      <c r="A346" t="s">
        <v>1349</v>
      </c>
      <c r="B346" t="s">
        <v>1350</v>
      </c>
      <c r="C346" t="s">
        <v>1351</v>
      </c>
      <c r="D346">
        <v>45035</v>
      </c>
      <c r="E346" t="s">
        <v>23</v>
      </c>
      <c r="F346">
        <v>1735.9</v>
      </c>
      <c r="G346">
        <v>6393.1</v>
      </c>
      <c r="H346" t="s">
        <v>35</v>
      </c>
      <c r="I346">
        <v>19</v>
      </c>
      <c r="J346" t="s">
        <v>42</v>
      </c>
      <c r="K346" t="s">
        <v>36</v>
      </c>
      <c r="L346" t="s">
        <v>1078</v>
      </c>
      <c r="M346" t="s">
        <v>52</v>
      </c>
      <c r="N346" t="s">
        <v>62</v>
      </c>
      <c r="O346">
        <v>4.1900000000000004</v>
      </c>
      <c r="P346">
        <v>38005.71</v>
      </c>
      <c r="R346">
        <v>631</v>
      </c>
      <c r="S346">
        <v>13548</v>
      </c>
      <c r="T346" t="s">
        <v>30</v>
      </c>
    </row>
    <row r="347" spans="1:20" x14ac:dyDescent="0.35">
      <c r="A347" t="s">
        <v>1352</v>
      </c>
      <c r="B347" t="s">
        <v>1353</v>
      </c>
      <c r="C347" t="s">
        <v>1354</v>
      </c>
      <c r="D347">
        <v>44883</v>
      </c>
      <c r="E347" t="s">
        <v>71</v>
      </c>
      <c r="F347">
        <v>5871.55</v>
      </c>
      <c r="G347">
        <v>46327.31</v>
      </c>
      <c r="H347" t="s">
        <v>35</v>
      </c>
      <c r="I347">
        <v>54</v>
      </c>
      <c r="J347" t="s">
        <v>42</v>
      </c>
      <c r="K347" t="s">
        <v>36</v>
      </c>
      <c r="L347" t="s">
        <v>399</v>
      </c>
      <c r="M347" t="s">
        <v>38</v>
      </c>
      <c r="N347" t="s">
        <v>29</v>
      </c>
      <c r="O347">
        <v>1.25</v>
      </c>
      <c r="Q347">
        <v>28</v>
      </c>
      <c r="R347">
        <v>511</v>
      </c>
      <c r="S347">
        <v>7038.56</v>
      </c>
      <c r="T347" t="s">
        <v>63</v>
      </c>
    </row>
    <row r="348" spans="1:20" x14ac:dyDescent="0.35">
      <c r="A348" t="s">
        <v>1355</v>
      </c>
      <c r="B348" t="s">
        <v>1356</v>
      </c>
      <c r="C348" t="s">
        <v>1357</v>
      </c>
      <c r="D348">
        <v>45097</v>
      </c>
      <c r="E348" t="s">
        <v>23</v>
      </c>
      <c r="F348">
        <v>9997.17</v>
      </c>
      <c r="G348">
        <v>31950.53</v>
      </c>
      <c r="H348" t="s">
        <v>100</v>
      </c>
      <c r="I348">
        <v>24</v>
      </c>
      <c r="J348" t="s">
        <v>42</v>
      </c>
      <c r="K348" t="s">
        <v>50</v>
      </c>
      <c r="L348" t="s">
        <v>1294</v>
      </c>
      <c r="M348" t="s">
        <v>52</v>
      </c>
      <c r="N348" t="s">
        <v>29</v>
      </c>
      <c r="O348">
        <v>3.75</v>
      </c>
      <c r="P348">
        <v>24483.54</v>
      </c>
      <c r="R348">
        <v>386</v>
      </c>
      <c r="S348">
        <v>9490.98</v>
      </c>
      <c r="T348" t="s">
        <v>63</v>
      </c>
    </row>
    <row r="349" spans="1:20" x14ac:dyDescent="0.35">
      <c r="A349" t="s">
        <v>1358</v>
      </c>
      <c r="B349" t="s">
        <v>1359</v>
      </c>
      <c r="C349" t="s">
        <v>1360</v>
      </c>
      <c r="D349">
        <v>44960</v>
      </c>
      <c r="E349" t="s">
        <v>56</v>
      </c>
      <c r="F349">
        <v>1590.16</v>
      </c>
      <c r="G349">
        <v>3665.15</v>
      </c>
      <c r="H349" t="s">
        <v>49</v>
      </c>
      <c r="I349">
        <v>43</v>
      </c>
      <c r="J349" t="s">
        <v>42</v>
      </c>
      <c r="K349" t="s">
        <v>36</v>
      </c>
      <c r="L349" t="s">
        <v>1361</v>
      </c>
      <c r="M349" t="s">
        <v>38</v>
      </c>
      <c r="N349" t="s">
        <v>29</v>
      </c>
      <c r="O349">
        <v>2.4700000000000002</v>
      </c>
      <c r="P349">
        <v>11486.1</v>
      </c>
      <c r="Q349">
        <v>25</v>
      </c>
      <c r="R349">
        <v>360</v>
      </c>
      <c r="S349">
        <v>12808.66</v>
      </c>
      <c r="T349" t="s">
        <v>30</v>
      </c>
    </row>
    <row r="350" spans="1:20" x14ac:dyDescent="0.35">
      <c r="A350" t="s">
        <v>1362</v>
      </c>
      <c r="B350" t="s">
        <v>1363</v>
      </c>
      <c r="C350" t="s">
        <v>1364</v>
      </c>
      <c r="D350">
        <v>44872</v>
      </c>
      <c r="E350" t="s">
        <v>56</v>
      </c>
      <c r="F350">
        <v>8185.89</v>
      </c>
      <c r="G350">
        <v>32568.58</v>
      </c>
      <c r="H350" t="s">
        <v>100</v>
      </c>
      <c r="I350">
        <v>43</v>
      </c>
      <c r="J350" t="s">
        <v>25</v>
      </c>
      <c r="K350" t="s">
        <v>26</v>
      </c>
      <c r="L350" t="s">
        <v>1365</v>
      </c>
      <c r="M350" t="s">
        <v>38</v>
      </c>
      <c r="N350" t="s">
        <v>29</v>
      </c>
      <c r="O350">
        <v>4.0199999999999996</v>
      </c>
      <c r="R350">
        <v>394</v>
      </c>
      <c r="S350">
        <v>4449.13</v>
      </c>
      <c r="T350" t="s">
        <v>45</v>
      </c>
    </row>
    <row r="351" spans="1:20" x14ac:dyDescent="0.35">
      <c r="A351" t="s">
        <v>1366</v>
      </c>
      <c r="B351" t="s">
        <v>1367</v>
      </c>
      <c r="C351" t="s">
        <v>1368</v>
      </c>
      <c r="D351">
        <v>44677</v>
      </c>
      <c r="E351" t="s">
        <v>34</v>
      </c>
      <c r="F351">
        <v>2152.36</v>
      </c>
      <c r="G351">
        <v>48738.14</v>
      </c>
      <c r="H351" t="s">
        <v>100</v>
      </c>
      <c r="I351">
        <v>41</v>
      </c>
      <c r="J351" t="s">
        <v>42</v>
      </c>
      <c r="K351" t="s">
        <v>26</v>
      </c>
      <c r="L351" t="s">
        <v>1369</v>
      </c>
      <c r="M351" t="s">
        <v>28</v>
      </c>
      <c r="N351" t="s">
        <v>29</v>
      </c>
      <c r="O351">
        <v>4.8600000000000003</v>
      </c>
      <c r="P351">
        <v>46897.66</v>
      </c>
      <c r="Q351">
        <v>24</v>
      </c>
      <c r="R351">
        <v>446</v>
      </c>
      <c r="S351">
        <v>12198.63</v>
      </c>
      <c r="T351" t="s">
        <v>45</v>
      </c>
    </row>
    <row r="352" spans="1:20" x14ac:dyDescent="0.35">
      <c r="A352" t="s">
        <v>1370</v>
      </c>
      <c r="B352" t="s">
        <v>1371</v>
      </c>
      <c r="C352" t="s">
        <v>1372</v>
      </c>
      <c r="D352">
        <v>44941</v>
      </c>
      <c r="E352" t="s">
        <v>23</v>
      </c>
      <c r="F352">
        <v>7845.64</v>
      </c>
      <c r="G352">
        <v>4420.2299999999996</v>
      </c>
      <c r="H352" t="s">
        <v>35</v>
      </c>
      <c r="I352">
        <v>29</v>
      </c>
      <c r="J352" t="s">
        <v>42</v>
      </c>
      <c r="K352" t="s">
        <v>50</v>
      </c>
      <c r="L352" t="s">
        <v>1373</v>
      </c>
      <c r="M352" t="s">
        <v>52</v>
      </c>
      <c r="N352" t="s">
        <v>44</v>
      </c>
      <c r="O352">
        <v>1.46</v>
      </c>
      <c r="Q352">
        <v>12</v>
      </c>
      <c r="R352">
        <v>545</v>
      </c>
      <c r="S352">
        <v>9750.1200000000008</v>
      </c>
      <c r="T352" t="s">
        <v>30</v>
      </c>
    </row>
    <row r="353" spans="1:20" x14ac:dyDescent="0.35">
      <c r="A353" t="s">
        <v>1374</v>
      </c>
      <c r="B353" t="s">
        <v>1375</v>
      </c>
      <c r="C353" t="s">
        <v>1376</v>
      </c>
      <c r="D353">
        <v>44653</v>
      </c>
      <c r="E353" t="s">
        <v>56</v>
      </c>
      <c r="F353">
        <v>7372.32</v>
      </c>
      <c r="G353">
        <v>28179.7</v>
      </c>
      <c r="H353" t="s">
        <v>24</v>
      </c>
      <c r="I353">
        <v>33</v>
      </c>
      <c r="J353" t="s">
        <v>42</v>
      </c>
      <c r="K353" t="s">
        <v>36</v>
      </c>
      <c r="L353" t="s">
        <v>1377</v>
      </c>
      <c r="M353" t="s">
        <v>52</v>
      </c>
      <c r="N353" t="s">
        <v>29</v>
      </c>
      <c r="O353">
        <v>2.2599999999999998</v>
      </c>
      <c r="R353">
        <v>596</v>
      </c>
      <c r="S353">
        <v>13613.44</v>
      </c>
      <c r="T353" t="s">
        <v>45</v>
      </c>
    </row>
    <row r="354" spans="1:20" x14ac:dyDescent="0.35">
      <c r="A354" t="s">
        <v>1378</v>
      </c>
      <c r="B354" t="s">
        <v>1379</v>
      </c>
      <c r="C354" t="s">
        <v>1380</v>
      </c>
      <c r="D354">
        <v>44783</v>
      </c>
      <c r="E354" t="s">
        <v>34</v>
      </c>
      <c r="F354">
        <v>3074.84</v>
      </c>
      <c r="G354">
        <v>37641.919999999998</v>
      </c>
      <c r="H354" t="s">
        <v>100</v>
      </c>
      <c r="I354">
        <v>40</v>
      </c>
      <c r="J354" t="s">
        <v>25</v>
      </c>
      <c r="K354" t="s">
        <v>26</v>
      </c>
      <c r="L354" t="s">
        <v>1381</v>
      </c>
      <c r="M354" t="s">
        <v>38</v>
      </c>
      <c r="N354" t="s">
        <v>29</v>
      </c>
      <c r="O354">
        <v>4.24</v>
      </c>
      <c r="P354">
        <v>11930.73</v>
      </c>
      <c r="Q354">
        <v>20</v>
      </c>
      <c r="R354">
        <v>422</v>
      </c>
      <c r="S354">
        <v>4235.62</v>
      </c>
      <c r="T354" t="s">
        <v>30</v>
      </c>
    </row>
    <row r="355" spans="1:20" x14ac:dyDescent="0.35">
      <c r="A355" t="s">
        <v>1382</v>
      </c>
      <c r="B355" t="s">
        <v>1383</v>
      </c>
      <c r="C355" t="s">
        <v>1384</v>
      </c>
      <c r="D355">
        <v>44934</v>
      </c>
      <c r="E355" t="s">
        <v>23</v>
      </c>
      <c r="F355">
        <v>3325.65</v>
      </c>
      <c r="G355">
        <v>40702.67</v>
      </c>
      <c r="H355" t="s">
        <v>49</v>
      </c>
      <c r="I355">
        <v>57</v>
      </c>
      <c r="J355" t="s">
        <v>25</v>
      </c>
      <c r="K355" t="s">
        <v>50</v>
      </c>
      <c r="L355" t="s">
        <v>395</v>
      </c>
      <c r="M355" t="s">
        <v>28</v>
      </c>
      <c r="N355" t="s">
        <v>62</v>
      </c>
      <c r="O355">
        <v>2.06</v>
      </c>
      <c r="R355">
        <v>755</v>
      </c>
      <c r="S355">
        <v>7468.87</v>
      </c>
      <c r="T355" t="s">
        <v>63</v>
      </c>
    </row>
    <row r="356" spans="1:20" x14ac:dyDescent="0.35">
      <c r="A356" t="s">
        <v>1385</v>
      </c>
      <c r="B356" t="s">
        <v>1386</v>
      </c>
      <c r="C356" t="s">
        <v>1387</v>
      </c>
      <c r="D356">
        <v>44762</v>
      </c>
      <c r="E356" t="s">
        <v>71</v>
      </c>
      <c r="F356">
        <v>7945.96</v>
      </c>
      <c r="G356">
        <v>21277.55</v>
      </c>
      <c r="H356" t="s">
        <v>125</v>
      </c>
      <c r="I356">
        <v>26</v>
      </c>
      <c r="J356" t="s">
        <v>42</v>
      </c>
      <c r="K356" t="s">
        <v>50</v>
      </c>
      <c r="L356" t="s">
        <v>1388</v>
      </c>
      <c r="M356" t="s">
        <v>28</v>
      </c>
      <c r="N356" t="s">
        <v>44</v>
      </c>
      <c r="O356">
        <v>1.86</v>
      </c>
      <c r="P356">
        <v>16493.47</v>
      </c>
      <c r="R356">
        <v>698</v>
      </c>
      <c r="S356">
        <v>12826.96</v>
      </c>
      <c r="T356" t="s">
        <v>45</v>
      </c>
    </row>
    <row r="357" spans="1:20" x14ac:dyDescent="0.35">
      <c r="A357" t="s">
        <v>1389</v>
      </c>
      <c r="B357" t="s">
        <v>1390</v>
      </c>
      <c r="C357" t="s">
        <v>1391</v>
      </c>
      <c r="D357">
        <v>45123</v>
      </c>
      <c r="E357" t="s">
        <v>56</v>
      </c>
      <c r="F357">
        <v>4668.3100000000004</v>
      </c>
      <c r="G357">
        <v>11004.16</v>
      </c>
      <c r="H357" t="s">
        <v>100</v>
      </c>
      <c r="I357">
        <v>49</v>
      </c>
      <c r="J357" t="s">
        <v>42</v>
      </c>
      <c r="K357" t="s">
        <v>26</v>
      </c>
      <c r="L357" t="s">
        <v>1392</v>
      </c>
      <c r="M357" t="s">
        <v>52</v>
      </c>
      <c r="N357" t="s">
        <v>29</v>
      </c>
      <c r="O357">
        <v>4.3</v>
      </c>
      <c r="P357">
        <v>32608.75</v>
      </c>
      <c r="R357">
        <v>530</v>
      </c>
      <c r="S357">
        <v>2250.0100000000002</v>
      </c>
      <c r="T357" t="s">
        <v>45</v>
      </c>
    </row>
    <row r="358" spans="1:20" x14ac:dyDescent="0.35">
      <c r="A358" t="s">
        <v>1393</v>
      </c>
      <c r="B358" t="s">
        <v>1394</v>
      </c>
      <c r="C358" t="s">
        <v>1395</v>
      </c>
      <c r="D358">
        <v>44619</v>
      </c>
      <c r="E358" t="s">
        <v>71</v>
      </c>
      <c r="F358">
        <v>7335.1</v>
      </c>
      <c r="G358">
        <v>3074.77</v>
      </c>
      <c r="H358" t="s">
        <v>100</v>
      </c>
      <c r="I358">
        <v>32</v>
      </c>
      <c r="J358" t="s">
        <v>25</v>
      </c>
      <c r="K358" t="s">
        <v>26</v>
      </c>
      <c r="L358" t="s">
        <v>1396</v>
      </c>
      <c r="M358" t="s">
        <v>38</v>
      </c>
      <c r="N358" t="s">
        <v>29</v>
      </c>
      <c r="O358">
        <v>4.95</v>
      </c>
      <c r="Q358">
        <v>9</v>
      </c>
      <c r="R358">
        <v>833</v>
      </c>
      <c r="S358">
        <v>3458.62</v>
      </c>
      <c r="T358" t="s">
        <v>63</v>
      </c>
    </row>
    <row r="359" spans="1:20" x14ac:dyDescent="0.35">
      <c r="A359" t="s">
        <v>1397</v>
      </c>
      <c r="B359" t="s">
        <v>1031</v>
      </c>
      <c r="C359" t="s">
        <v>1398</v>
      </c>
      <c r="D359">
        <v>45076</v>
      </c>
      <c r="E359" t="s">
        <v>23</v>
      </c>
      <c r="F359">
        <v>1565.04</v>
      </c>
      <c r="G359">
        <v>29406.58</v>
      </c>
      <c r="H359" t="s">
        <v>49</v>
      </c>
      <c r="I359">
        <v>54</v>
      </c>
      <c r="J359" t="s">
        <v>42</v>
      </c>
      <c r="K359" t="s">
        <v>36</v>
      </c>
      <c r="L359" t="s">
        <v>1399</v>
      </c>
      <c r="M359" t="s">
        <v>52</v>
      </c>
      <c r="N359" t="s">
        <v>29</v>
      </c>
      <c r="O359">
        <v>3.23</v>
      </c>
      <c r="Q359">
        <v>13</v>
      </c>
      <c r="R359">
        <v>701</v>
      </c>
      <c r="S359">
        <v>14877.35</v>
      </c>
      <c r="T359" t="s">
        <v>63</v>
      </c>
    </row>
    <row r="360" spans="1:20" x14ac:dyDescent="0.35">
      <c r="A360" t="s">
        <v>1400</v>
      </c>
      <c r="B360" t="s">
        <v>1401</v>
      </c>
      <c r="C360" t="s">
        <v>1402</v>
      </c>
      <c r="D360">
        <v>44606</v>
      </c>
      <c r="E360" t="s">
        <v>56</v>
      </c>
      <c r="F360">
        <v>8540.32</v>
      </c>
      <c r="G360">
        <v>23192.639999999999</v>
      </c>
      <c r="H360" t="s">
        <v>24</v>
      </c>
      <c r="I360">
        <v>30</v>
      </c>
      <c r="J360" t="s">
        <v>42</v>
      </c>
      <c r="K360" t="s">
        <v>50</v>
      </c>
      <c r="L360" t="s">
        <v>1403</v>
      </c>
      <c r="M360" t="s">
        <v>52</v>
      </c>
      <c r="N360" t="s">
        <v>62</v>
      </c>
      <c r="O360">
        <v>2.11</v>
      </c>
      <c r="P360">
        <v>5046</v>
      </c>
      <c r="Q360">
        <v>17</v>
      </c>
      <c r="R360">
        <v>429</v>
      </c>
      <c r="S360">
        <v>5645.12</v>
      </c>
      <c r="T360" t="s">
        <v>45</v>
      </c>
    </row>
    <row r="361" spans="1:20" x14ac:dyDescent="0.35">
      <c r="A361" t="s">
        <v>1404</v>
      </c>
      <c r="B361" t="s">
        <v>1405</v>
      </c>
      <c r="C361" t="s">
        <v>1406</v>
      </c>
      <c r="D361">
        <v>45090</v>
      </c>
      <c r="E361" t="s">
        <v>23</v>
      </c>
      <c r="F361">
        <v>7137.76</v>
      </c>
      <c r="G361">
        <v>47488.480000000003</v>
      </c>
      <c r="H361" t="s">
        <v>100</v>
      </c>
      <c r="I361">
        <v>22</v>
      </c>
      <c r="J361" t="s">
        <v>42</v>
      </c>
      <c r="K361" t="s">
        <v>26</v>
      </c>
      <c r="L361" t="s">
        <v>1407</v>
      </c>
      <c r="M361" t="s">
        <v>52</v>
      </c>
      <c r="N361" t="s">
        <v>62</v>
      </c>
      <c r="O361">
        <v>2.59</v>
      </c>
      <c r="P361">
        <v>32008.19</v>
      </c>
      <c r="R361">
        <v>591</v>
      </c>
      <c r="S361">
        <v>14682.06</v>
      </c>
      <c r="T361" t="s">
        <v>45</v>
      </c>
    </row>
    <row r="362" spans="1:20" x14ac:dyDescent="0.35">
      <c r="A362" t="s">
        <v>1408</v>
      </c>
      <c r="B362" t="s">
        <v>1409</v>
      </c>
      <c r="C362" t="s">
        <v>1410</v>
      </c>
      <c r="D362">
        <v>44584</v>
      </c>
      <c r="E362" t="s">
        <v>71</v>
      </c>
      <c r="F362">
        <v>9078.73</v>
      </c>
      <c r="G362">
        <v>3969.64</v>
      </c>
      <c r="H362" t="s">
        <v>100</v>
      </c>
      <c r="I362">
        <v>28</v>
      </c>
      <c r="J362" t="s">
        <v>42</v>
      </c>
      <c r="K362" t="s">
        <v>50</v>
      </c>
      <c r="L362" t="s">
        <v>1411</v>
      </c>
      <c r="M362" t="s">
        <v>52</v>
      </c>
      <c r="N362" t="s">
        <v>62</v>
      </c>
      <c r="O362">
        <v>1.68</v>
      </c>
      <c r="R362">
        <v>575</v>
      </c>
      <c r="S362">
        <v>4372.91</v>
      </c>
      <c r="T362" t="s">
        <v>30</v>
      </c>
    </row>
    <row r="363" spans="1:20" x14ac:dyDescent="0.35">
      <c r="A363" t="s">
        <v>1412</v>
      </c>
      <c r="B363" t="s">
        <v>1413</v>
      </c>
      <c r="C363" t="s">
        <v>1414</v>
      </c>
      <c r="D363">
        <v>44946</v>
      </c>
      <c r="E363" t="s">
        <v>56</v>
      </c>
      <c r="F363">
        <v>1410.49</v>
      </c>
      <c r="G363">
        <v>34584.370000000003</v>
      </c>
      <c r="H363" t="s">
        <v>24</v>
      </c>
      <c r="I363">
        <v>27</v>
      </c>
      <c r="J363" t="s">
        <v>25</v>
      </c>
      <c r="K363" t="s">
        <v>36</v>
      </c>
      <c r="L363" t="s">
        <v>852</v>
      </c>
      <c r="M363" t="s">
        <v>38</v>
      </c>
      <c r="N363" t="s">
        <v>29</v>
      </c>
      <c r="O363">
        <v>4.05</v>
      </c>
      <c r="P363">
        <v>44624.68</v>
      </c>
      <c r="R363">
        <v>675</v>
      </c>
      <c r="S363">
        <v>6694.23</v>
      </c>
      <c r="T363" t="s">
        <v>30</v>
      </c>
    </row>
    <row r="364" spans="1:20" x14ac:dyDescent="0.35">
      <c r="A364" t="s">
        <v>1415</v>
      </c>
      <c r="B364" t="s">
        <v>1416</v>
      </c>
      <c r="C364" t="s">
        <v>1417</v>
      </c>
      <c r="D364">
        <v>44658</v>
      </c>
      <c r="E364" t="s">
        <v>71</v>
      </c>
      <c r="F364">
        <v>5970.84</v>
      </c>
      <c r="G364">
        <v>2223.34</v>
      </c>
      <c r="H364" t="s">
        <v>49</v>
      </c>
      <c r="I364">
        <v>69</v>
      </c>
      <c r="J364" t="s">
        <v>25</v>
      </c>
      <c r="K364" t="s">
        <v>26</v>
      </c>
      <c r="L364" t="s">
        <v>1418</v>
      </c>
      <c r="M364" t="s">
        <v>28</v>
      </c>
      <c r="N364" t="s">
        <v>62</v>
      </c>
      <c r="O364">
        <v>4.09</v>
      </c>
      <c r="P364">
        <v>19726.259999999998</v>
      </c>
      <c r="Q364">
        <v>19</v>
      </c>
      <c r="R364">
        <v>354</v>
      </c>
      <c r="S364">
        <v>11787.3</v>
      </c>
      <c r="T364" t="s">
        <v>45</v>
      </c>
    </row>
    <row r="365" spans="1:20" x14ac:dyDescent="0.35">
      <c r="A365" t="s">
        <v>1419</v>
      </c>
      <c r="B365" t="s">
        <v>1420</v>
      </c>
      <c r="C365" t="s">
        <v>1421</v>
      </c>
      <c r="D365">
        <v>44907</v>
      </c>
      <c r="E365" t="s">
        <v>23</v>
      </c>
      <c r="F365">
        <v>6031.29</v>
      </c>
      <c r="G365">
        <v>9400.27</v>
      </c>
      <c r="H365" t="s">
        <v>100</v>
      </c>
      <c r="I365">
        <v>30</v>
      </c>
      <c r="J365" t="s">
        <v>25</v>
      </c>
      <c r="K365" t="s">
        <v>36</v>
      </c>
      <c r="L365" t="s">
        <v>945</v>
      </c>
      <c r="M365" t="s">
        <v>52</v>
      </c>
      <c r="N365" t="s">
        <v>29</v>
      </c>
      <c r="O365">
        <v>4.5</v>
      </c>
      <c r="P365">
        <v>18038.189999999999</v>
      </c>
      <c r="R365">
        <v>325</v>
      </c>
      <c r="S365">
        <v>10551.12</v>
      </c>
      <c r="T365" t="s">
        <v>30</v>
      </c>
    </row>
    <row r="366" spans="1:20" x14ac:dyDescent="0.35">
      <c r="A366" t="s">
        <v>1422</v>
      </c>
      <c r="B366" t="s">
        <v>1423</v>
      </c>
      <c r="C366" t="s">
        <v>1424</v>
      </c>
      <c r="D366">
        <v>44809</v>
      </c>
      <c r="E366" t="s">
        <v>23</v>
      </c>
      <c r="F366">
        <v>3599.26</v>
      </c>
      <c r="G366">
        <v>23225.37</v>
      </c>
      <c r="H366" t="s">
        <v>24</v>
      </c>
      <c r="I366">
        <v>58</v>
      </c>
      <c r="J366" t="s">
        <v>42</v>
      </c>
      <c r="K366" t="s">
        <v>50</v>
      </c>
      <c r="L366" t="s">
        <v>955</v>
      </c>
      <c r="M366" t="s">
        <v>52</v>
      </c>
      <c r="N366" t="s">
        <v>44</v>
      </c>
      <c r="O366">
        <v>1.1100000000000001</v>
      </c>
      <c r="Q366">
        <v>27</v>
      </c>
      <c r="R366">
        <v>740</v>
      </c>
      <c r="S366">
        <v>9554.59</v>
      </c>
      <c r="T366" t="s">
        <v>63</v>
      </c>
    </row>
    <row r="367" spans="1:20" x14ac:dyDescent="0.35">
      <c r="A367" t="s">
        <v>1425</v>
      </c>
      <c r="B367" t="s">
        <v>1426</v>
      </c>
      <c r="C367" t="s">
        <v>1427</v>
      </c>
      <c r="D367">
        <v>44672</v>
      </c>
      <c r="E367" t="s">
        <v>71</v>
      </c>
      <c r="F367">
        <v>4638.82</v>
      </c>
      <c r="G367">
        <v>23288.75</v>
      </c>
      <c r="H367" t="s">
        <v>100</v>
      </c>
      <c r="I367">
        <v>63</v>
      </c>
      <c r="J367" t="s">
        <v>42</v>
      </c>
      <c r="K367" t="s">
        <v>36</v>
      </c>
      <c r="L367" t="s">
        <v>1428</v>
      </c>
      <c r="M367" t="s">
        <v>52</v>
      </c>
      <c r="N367" t="s">
        <v>29</v>
      </c>
      <c r="O367">
        <v>3.25</v>
      </c>
      <c r="P367">
        <v>11518.38</v>
      </c>
      <c r="Q367">
        <v>3</v>
      </c>
      <c r="R367">
        <v>496</v>
      </c>
      <c r="S367">
        <v>8888.69</v>
      </c>
      <c r="T367" t="s">
        <v>30</v>
      </c>
    </row>
    <row r="368" spans="1:20" x14ac:dyDescent="0.35">
      <c r="A368" t="s">
        <v>1429</v>
      </c>
      <c r="B368" t="s">
        <v>1430</v>
      </c>
      <c r="C368" t="s">
        <v>1431</v>
      </c>
      <c r="D368">
        <v>45046</v>
      </c>
      <c r="E368" t="s">
        <v>56</v>
      </c>
      <c r="F368">
        <v>476.02</v>
      </c>
      <c r="G368">
        <v>34599.33</v>
      </c>
      <c r="H368" t="s">
        <v>125</v>
      </c>
      <c r="I368">
        <v>67</v>
      </c>
      <c r="J368" t="s">
        <v>25</v>
      </c>
      <c r="K368" t="s">
        <v>36</v>
      </c>
      <c r="L368" t="s">
        <v>910</v>
      </c>
      <c r="M368" t="s">
        <v>52</v>
      </c>
      <c r="N368" t="s">
        <v>62</v>
      </c>
      <c r="O368">
        <v>1.86</v>
      </c>
      <c r="P368">
        <v>31168.87</v>
      </c>
      <c r="Q368">
        <v>1</v>
      </c>
      <c r="R368">
        <v>542</v>
      </c>
      <c r="S368">
        <v>12964.73</v>
      </c>
      <c r="T368" t="s">
        <v>30</v>
      </c>
    </row>
    <row r="369" spans="1:20" x14ac:dyDescent="0.35">
      <c r="A369" t="s">
        <v>1432</v>
      </c>
      <c r="B369" t="s">
        <v>1219</v>
      </c>
      <c r="C369" t="s">
        <v>1433</v>
      </c>
      <c r="D369">
        <v>44774</v>
      </c>
      <c r="E369" t="s">
        <v>71</v>
      </c>
      <c r="F369">
        <v>7484.01</v>
      </c>
      <c r="G369">
        <v>45600.44</v>
      </c>
      <c r="H369" t="s">
        <v>35</v>
      </c>
      <c r="I369">
        <v>32</v>
      </c>
      <c r="J369" t="s">
        <v>25</v>
      </c>
      <c r="K369" t="s">
        <v>50</v>
      </c>
      <c r="L369" t="s">
        <v>1434</v>
      </c>
      <c r="M369" t="s">
        <v>28</v>
      </c>
      <c r="N369" t="s">
        <v>44</v>
      </c>
      <c r="O369">
        <v>2.36</v>
      </c>
      <c r="P369">
        <v>12569.61</v>
      </c>
      <c r="Q369">
        <v>12</v>
      </c>
      <c r="R369">
        <v>489</v>
      </c>
      <c r="S369">
        <v>5054.33</v>
      </c>
      <c r="T369" t="s">
        <v>45</v>
      </c>
    </row>
    <row r="370" spans="1:20" x14ac:dyDescent="0.35">
      <c r="A370" t="s">
        <v>1435</v>
      </c>
      <c r="B370" t="s">
        <v>1436</v>
      </c>
      <c r="C370" t="s">
        <v>1437</v>
      </c>
      <c r="D370">
        <v>44893</v>
      </c>
      <c r="E370" t="s">
        <v>23</v>
      </c>
      <c r="F370">
        <v>5538.29</v>
      </c>
      <c r="G370">
        <v>32312.58</v>
      </c>
      <c r="H370" t="s">
        <v>125</v>
      </c>
      <c r="I370">
        <v>59</v>
      </c>
      <c r="J370" t="s">
        <v>25</v>
      </c>
      <c r="K370" t="s">
        <v>36</v>
      </c>
      <c r="L370" t="s">
        <v>37</v>
      </c>
      <c r="M370" t="s">
        <v>28</v>
      </c>
      <c r="N370" t="s">
        <v>29</v>
      </c>
      <c r="O370">
        <v>4.1399999999999997</v>
      </c>
      <c r="Q370">
        <v>15</v>
      </c>
      <c r="R370">
        <v>575</v>
      </c>
      <c r="S370">
        <v>7752.12</v>
      </c>
      <c r="T370" t="s">
        <v>30</v>
      </c>
    </row>
    <row r="371" spans="1:20" x14ac:dyDescent="0.35">
      <c r="A371" t="s">
        <v>1438</v>
      </c>
      <c r="B371" t="s">
        <v>1439</v>
      </c>
      <c r="C371" t="s">
        <v>1440</v>
      </c>
      <c r="D371">
        <v>45013</v>
      </c>
      <c r="E371" t="s">
        <v>71</v>
      </c>
      <c r="F371">
        <v>671.64</v>
      </c>
      <c r="G371">
        <v>47723.22</v>
      </c>
      <c r="H371" t="s">
        <v>100</v>
      </c>
      <c r="I371">
        <v>24</v>
      </c>
      <c r="J371" t="s">
        <v>42</v>
      </c>
      <c r="K371" t="s">
        <v>50</v>
      </c>
      <c r="L371" t="s">
        <v>1441</v>
      </c>
      <c r="M371" t="s">
        <v>28</v>
      </c>
      <c r="N371" t="s">
        <v>44</v>
      </c>
      <c r="O371">
        <v>1.77</v>
      </c>
      <c r="Q371">
        <v>11</v>
      </c>
      <c r="R371">
        <v>708</v>
      </c>
      <c r="S371">
        <v>4020.88</v>
      </c>
      <c r="T371" t="s">
        <v>45</v>
      </c>
    </row>
    <row r="372" spans="1:20" x14ac:dyDescent="0.35">
      <c r="A372" t="s">
        <v>1442</v>
      </c>
      <c r="B372" t="s">
        <v>1443</v>
      </c>
      <c r="C372" t="s">
        <v>1444</v>
      </c>
      <c r="D372">
        <v>44905</v>
      </c>
      <c r="E372" t="s">
        <v>23</v>
      </c>
      <c r="F372">
        <v>6839.48</v>
      </c>
      <c r="G372">
        <v>44199.17</v>
      </c>
      <c r="H372" t="s">
        <v>49</v>
      </c>
      <c r="I372">
        <v>57</v>
      </c>
      <c r="J372" t="s">
        <v>25</v>
      </c>
      <c r="K372" t="s">
        <v>26</v>
      </c>
      <c r="L372" t="s">
        <v>1445</v>
      </c>
      <c r="M372" t="s">
        <v>28</v>
      </c>
      <c r="N372" t="s">
        <v>44</v>
      </c>
      <c r="O372">
        <v>3.55</v>
      </c>
      <c r="Q372">
        <v>10</v>
      </c>
      <c r="R372">
        <v>639</v>
      </c>
      <c r="S372">
        <v>9747.24</v>
      </c>
      <c r="T372" t="s">
        <v>45</v>
      </c>
    </row>
    <row r="373" spans="1:20" x14ac:dyDescent="0.35">
      <c r="A373" t="s">
        <v>1446</v>
      </c>
      <c r="B373" t="s">
        <v>1447</v>
      </c>
      <c r="C373" t="s">
        <v>1448</v>
      </c>
      <c r="D373">
        <v>44930</v>
      </c>
      <c r="E373" t="s">
        <v>71</v>
      </c>
      <c r="F373">
        <v>4721.1400000000003</v>
      </c>
      <c r="G373">
        <v>29640.49</v>
      </c>
      <c r="H373" t="s">
        <v>35</v>
      </c>
      <c r="I373">
        <v>45</v>
      </c>
      <c r="J373" t="s">
        <v>42</v>
      </c>
      <c r="K373" t="s">
        <v>50</v>
      </c>
      <c r="L373" t="s">
        <v>1449</v>
      </c>
      <c r="M373" t="s">
        <v>52</v>
      </c>
      <c r="N373" t="s">
        <v>44</v>
      </c>
      <c r="O373">
        <v>3.62</v>
      </c>
      <c r="P373">
        <v>5756.33</v>
      </c>
      <c r="Q373">
        <v>2</v>
      </c>
      <c r="R373">
        <v>452</v>
      </c>
      <c r="S373">
        <v>5257.08</v>
      </c>
      <c r="T373" t="s">
        <v>45</v>
      </c>
    </row>
    <row r="374" spans="1:20" x14ac:dyDescent="0.35">
      <c r="A374" t="s">
        <v>1450</v>
      </c>
      <c r="B374" t="s">
        <v>1451</v>
      </c>
      <c r="C374" t="s">
        <v>1452</v>
      </c>
      <c r="D374">
        <v>44834</v>
      </c>
      <c r="E374" t="s">
        <v>56</v>
      </c>
      <c r="F374">
        <v>441.17</v>
      </c>
      <c r="G374">
        <v>41855.81</v>
      </c>
      <c r="H374" t="s">
        <v>125</v>
      </c>
      <c r="I374">
        <v>49</v>
      </c>
      <c r="J374" t="s">
        <v>42</v>
      </c>
      <c r="K374" t="s">
        <v>50</v>
      </c>
      <c r="L374" t="s">
        <v>1453</v>
      </c>
      <c r="M374" t="s">
        <v>38</v>
      </c>
      <c r="N374" t="s">
        <v>29</v>
      </c>
      <c r="O374">
        <v>4.82</v>
      </c>
      <c r="R374">
        <v>697</v>
      </c>
      <c r="S374">
        <v>6339.95</v>
      </c>
      <c r="T374" t="s">
        <v>63</v>
      </c>
    </row>
    <row r="375" spans="1:20" x14ac:dyDescent="0.35">
      <c r="A375" t="s">
        <v>1454</v>
      </c>
      <c r="B375" t="s">
        <v>1455</v>
      </c>
      <c r="C375" t="s">
        <v>1456</v>
      </c>
      <c r="D375">
        <v>44828</v>
      </c>
      <c r="E375" t="s">
        <v>56</v>
      </c>
      <c r="F375">
        <v>9699.1200000000008</v>
      </c>
      <c r="G375">
        <v>32486.3</v>
      </c>
      <c r="H375" t="s">
        <v>24</v>
      </c>
      <c r="I375">
        <v>52</v>
      </c>
      <c r="J375" t="s">
        <v>25</v>
      </c>
      <c r="K375" t="s">
        <v>26</v>
      </c>
      <c r="L375" t="s">
        <v>1457</v>
      </c>
      <c r="M375" t="s">
        <v>28</v>
      </c>
      <c r="N375" t="s">
        <v>62</v>
      </c>
      <c r="O375">
        <v>4.0999999999999996</v>
      </c>
      <c r="P375">
        <v>36321.56</v>
      </c>
      <c r="Q375">
        <v>29</v>
      </c>
      <c r="R375">
        <v>743</v>
      </c>
      <c r="S375">
        <v>8126.26</v>
      </c>
      <c r="T375" t="s">
        <v>30</v>
      </c>
    </row>
    <row r="376" spans="1:20" x14ac:dyDescent="0.35">
      <c r="A376" t="s">
        <v>1458</v>
      </c>
      <c r="B376" t="s">
        <v>1459</v>
      </c>
      <c r="C376" t="s">
        <v>1460</v>
      </c>
      <c r="D376">
        <v>44755</v>
      </c>
      <c r="E376" t="s">
        <v>71</v>
      </c>
      <c r="F376">
        <v>9496.2099999999991</v>
      </c>
      <c r="G376">
        <v>4849.33</v>
      </c>
      <c r="H376" t="s">
        <v>49</v>
      </c>
      <c r="I376">
        <v>32</v>
      </c>
      <c r="J376" t="s">
        <v>25</v>
      </c>
      <c r="K376" t="s">
        <v>50</v>
      </c>
      <c r="L376" t="s">
        <v>1461</v>
      </c>
      <c r="M376" t="s">
        <v>28</v>
      </c>
      <c r="N376" t="s">
        <v>29</v>
      </c>
      <c r="O376">
        <v>4.21</v>
      </c>
      <c r="Q376">
        <v>4</v>
      </c>
      <c r="R376">
        <v>726</v>
      </c>
      <c r="S376">
        <v>2348.02</v>
      </c>
      <c r="T376" t="s">
        <v>30</v>
      </c>
    </row>
    <row r="377" spans="1:20" x14ac:dyDescent="0.35">
      <c r="A377" t="s">
        <v>1462</v>
      </c>
      <c r="B377" t="s">
        <v>1463</v>
      </c>
      <c r="C377" t="s">
        <v>1464</v>
      </c>
      <c r="D377">
        <v>44797</v>
      </c>
      <c r="E377" t="s">
        <v>71</v>
      </c>
      <c r="F377">
        <v>5177.7299999999996</v>
      </c>
      <c r="G377">
        <v>37287.67</v>
      </c>
      <c r="H377" t="s">
        <v>125</v>
      </c>
      <c r="I377">
        <v>65</v>
      </c>
      <c r="J377" t="s">
        <v>42</v>
      </c>
      <c r="K377" t="s">
        <v>26</v>
      </c>
      <c r="L377" t="s">
        <v>1136</v>
      </c>
      <c r="M377" t="s">
        <v>52</v>
      </c>
      <c r="N377" t="s">
        <v>62</v>
      </c>
      <c r="O377">
        <v>3.13</v>
      </c>
      <c r="P377">
        <v>13060.37</v>
      </c>
      <c r="R377">
        <v>786</v>
      </c>
      <c r="S377">
        <v>3195.19</v>
      </c>
      <c r="T377" t="s">
        <v>30</v>
      </c>
    </row>
    <row r="378" spans="1:20" x14ac:dyDescent="0.35">
      <c r="A378" t="s">
        <v>1465</v>
      </c>
      <c r="B378" t="s">
        <v>1466</v>
      </c>
      <c r="C378" t="s">
        <v>1467</v>
      </c>
      <c r="D378">
        <v>44900</v>
      </c>
      <c r="E378" t="s">
        <v>56</v>
      </c>
      <c r="F378">
        <v>1027.3599999999999</v>
      </c>
      <c r="G378">
        <v>5650.51</v>
      </c>
      <c r="H378" t="s">
        <v>24</v>
      </c>
      <c r="I378">
        <v>53</v>
      </c>
      <c r="J378" t="s">
        <v>25</v>
      </c>
      <c r="K378" t="s">
        <v>26</v>
      </c>
      <c r="L378" t="s">
        <v>1468</v>
      </c>
      <c r="M378" t="s">
        <v>52</v>
      </c>
      <c r="N378" t="s">
        <v>29</v>
      </c>
      <c r="O378">
        <v>1.75</v>
      </c>
      <c r="R378">
        <v>503</v>
      </c>
      <c r="S378">
        <v>10917.08</v>
      </c>
      <c r="T378" t="s">
        <v>45</v>
      </c>
    </row>
    <row r="379" spans="1:20" x14ac:dyDescent="0.35">
      <c r="A379" t="s">
        <v>1469</v>
      </c>
      <c r="B379" t="s">
        <v>1470</v>
      </c>
      <c r="C379" t="s">
        <v>1471</v>
      </c>
      <c r="D379">
        <v>44784</v>
      </c>
      <c r="E379" t="s">
        <v>23</v>
      </c>
      <c r="F379">
        <v>7570.75</v>
      </c>
      <c r="G379">
        <v>30110.06</v>
      </c>
      <c r="H379" t="s">
        <v>100</v>
      </c>
      <c r="I379">
        <v>38</v>
      </c>
      <c r="J379" t="s">
        <v>25</v>
      </c>
      <c r="K379" t="s">
        <v>50</v>
      </c>
      <c r="L379" t="s">
        <v>505</v>
      </c>
      <c r="M379" t="s">
        <v>52</v>
      </c>
      <c r="N379" t="s">
        <v>29</v>
      </c>
      <c r="O379">
        <v>2.7</v>
      </c>
      <c r="P379">
        <v>7343.96</v>
      </c>
      <c r="R379">
        <v>411</v>
      </c>
      <c r="S379">
        <v>7576.61</v>
      </c>
      <c r="T379" t="s">
        <v>63</v>
      </c>
    </row>
    <row r="380" spans="1:20" x14ac:dyDescent="0.35">
      <c r="A380" t="s">
        <v>1472</v>
      </c>
      <c r="B380" t="s">
        <v>1473</v>
      </c>
      <c r="C380" t="s">
        <v>1474</v>
      </c>
      <c r="D380">
        <v>44890</v>
      </c>
      <c r="E380" t="s">
        <v>56</v>
      </c>
      <c r="F380">
        <v>4970.12</v>
      </c>
      <c r="G380">
        <v>35429.370000000003</v>
      </c>
      <c r="H380" t="s">
        <v>24</v>
      </c>
      <c r="I380">
        <v>23</v>
      </c>
      <c r="J380" t="s">
        <v>42</v>
      </c>
      <c r="K380" t="s">
        <v>36</v>
      </c>
      <c r="L380" t="s">
        <v>1475</v>
      </c>
      <c r="M380" t="s">
        <v>52</v>
      </c>
      <c r="N380" t="s">
        <v>29</v>
      </c>
      <c r="O380">
        <v>3.2</v>
      </c>
      <c r="P380">
        <v>24621.87</v>
      </c>
      <c r="R380">
        <v>624</v>
      </c>
      <c r="S380">
        <v>13242.27</v>
      </c>
      <c r="T380" t="s">
        <v>45</v>
      </c>
    </row>
    <row r="381" spans="1:20" x14ac:dyDescent="0.35">
      <c r="A381" t="s">
        <v>1476</v>
      </c>
      <c r="B381" t="s">
        <v>1477</v>
      </c>
      <c r="C381" t="s">
        <v>1478</v>
      </c>
      <c r="D381">
        <v>44700</v>
      </c>
      <c r="E381" t="s">
        <v>23</v>
      </c>
      <c r="F381">
        <v>3094.23</v>
      </c>
      <c r="G381">
        <v>4259.8500000000004</v>
      </c>
      <c r="H381" t="s">
        <v>125</v>
      </c>
      <c r="I381">
        <v>18</v>
      </c>
      <c r="J381" t="s">
        <v>42</v>
      </c>
      <c r="K381" t="s">
        <v>36</v>
      </c>
      <c r="L381" t="s">
        <v>1479</v>
      </c>
      <c r="M381" t="s">
        <v>38</v>
      </c>
      <c r="N381" t="s">
        <v>62</v>
      </c>
      <c r="O381">
        <v>3.71</v>
      </c>
      <c r="Q381">
        <v>23</v>
      </c>
      <c r="R381">
        <v>557</v>
      </c>
      <c r="S381">
        <v>11030.74</v>
      </c>
      <c r="T381" t="s">
        <v>30</v>
      </c>
    </row>
    <row r="382" spans="1:20" x14ac:dyDescent="0.35">
      <c r="A382" t="s">
        <v>1480</v>
      </c>
      <c r="B382" t="s">
        <v>1481</v>
      </c>
      <c r="C382" t="s">
        <v>1482</v>
      </c>
      <c r="D382">
        <v>44915</v>
      </c>
      <c r="E382" t="s">
        <v>71</v>
      </c>
      <c r="F382">
        <v>4965.04</v>
      </c>
      <c r="G382">
        <v>12308.94</v>
      </c>
      <c r="H382" t="s">
        <v>125</v>
      </c>
      <c r="I382">
        <v>21</v>
      </c>
      <c r="J382" t="s">
        <v>42</v>
      </c>
      <c r="K382" t="s">
        <v>26</v>
      </c>
      <c r="L382" t="s">
        <v>1483</v>
      </c>
      <c r="M382" t="s">
        <v>38</v>
      </c>
      <c r="N382" t="s">
        <v>29</v>
      </c>
      <c r="O382">
        <v>3.43</v>
      </c>
      <c r="P382">
        <v>42824.9</v>
      </c>
      <c r="R382">
        <v>827</v>
      </c>
      <c r="S382">
        <v>2105.31</v>
      </c>
      <c r="T382" t="s">
        <v>45</v>
      </c>
    </row>
    <row r="383" spans="1:20" x14ac:dyDescent="0.35">
      <c r="A383" t="s">
        <v>1484</v>
      </c>
      <c r="B383" t="s">
        <v>1485</v>
      </c>
      <c r="C383" t="s">
        <v>1486</v>
      </c>
      <c r="D383">
        <v>44600</v>
      </c>
      <c r="E383" t="s">
        <v>71</v>
      </c>
      <c r="F383">
        <v>5272.2</v>
      </c>
      <c r="G383">
        <v>45867.94</v>
      </c>
      <c r="H383" t="s">
        <v>100</v>
      </c>
      <c r="I383">
        <v>28</v>
      </c>
      <c r="J383" t="s">
        <v>42</v>
      </c>
      <c r="K383" t="s">
        <v>36</v>
      </c>
      <c r="L383" t="s">
        <v>1487</v>
      </c>
      <c r="M383" t="s">
        <v>28</v>
      </c>
      <c r="N383" t="s">
        <v>44</v>
      </c>
      <c r="O383">
        <v>2.58</v>
      </c>
      <c r="R383">
        <v>649</v>
      </c>
      <c r="S383">
        <v>10017.26</v>
      </c>
      <c r="T383" t="s">
        <v>45</v>
      </c>
    </row>
    <row r="384" spans="1:20" x14ac:dyDescent="0.35">
      <c r="A384" t="s">
        <v>1488</v>
      </c>
      <c r="B384" t="s">
        <v>1489</v>
      </c>
      <c r="C384" t="s">
        <v>1490</v>
      </c>
      <c r="D384">
        <v>44924</v>
      </c>
      <c r="E384" t="s">
        <v>23</v>
      </c>
      <c r="F384">
        <v>5670.85</v>
      </c>
      <c r="G384">
        <v>31199.41</v>
      </c>
      <c r="H384" t="s">
        <v>24</v>
      </c>
      <c r="I384">
        <v>61</v>
      </c>
      <c r="J384" t="s">
        <v>42</v>
      </c>
      <c r="K384" t="s">
        <v>36</v>
      </c>
      <c r="L384" t="s">
        <v>649</v>
      </c>
      <c r="M384" t="s">
        <v>38</v>
      </c>
      <c r="N384" t="s">
        <v>29</v>
      </c>
      <c r="O384">
        <v>2.06</v>
      </c>
      <c r="R384">
        <v>734</v>
      </c>
      <c r="S384">
        <v>3218.42</v>
      </c>
      <c r="T384" t="s">
        <v>30</v>
      </c>
    </row>
    <row r="385" spans="1:20" x14ac:dyDescent="0.35">
      <c r="A385" t="s">
        <v>1491</v>
      </c>
      <c r="B385" t="s">
        <v>1492</v>
      </c>
      <c r="C385" t="s">
        <v>1493</v>
      </c>
      <c r="D385">
        <v>45045</v>
      </c>
      <c r="E385" t="s">
        <v>71</v>
      </c>
      <c r="F385">
        <v>4468.1099999999997</v>
      </c>
      <c r="G385">
        <v>13068.01</v>
      </c>
      <c r="H385" t="s">
        <v>24</v>
      </c>
      <c r="I385">
        <v>43</v>
      </c>
      <c r="J385" t="s">
        <v>25</v>
      </c>
      <c r="K385" t="s">
        <v>50</v>
      </c>
      <c r="L385" t="s">
        <v>1494</v>
      </c>
      <c r="M385" t="s">
        <v>28</v>
      </c>
      <c r="N385" t="s">
        <v>44</v>
      </c>
      <c r="O385">
        <v>1.67</v>
      </c>
      <c r="P385">
        <v>25779.67</v>
      </c>
      <c r="R385">
        <v>725</v>
      </c>
      <c r="S385">
        <v>12152.13</v>
      </c>
      <c r="T385" t="s">
        <v>45</v>
      </c>
    </row>
    <row r="386" spans="1:20" x14ac:dyDescent="0.35">
      <c r="A386" t="s">
        <v>1495</v>
      </c>
      <c r="B386" t="s">
        <v>1496</v>
      </c>
      <c r="C386" t="s">
        <v>1497</v>
      </c>
      <c r="D386">
        <v>45062</v>
      </c>
      <c r="E386" t="s">
        <v>23</v>
      </c>
      <c r="F386">
        <v>6096.98</v>
      </c>
      <c r="G386">
        <v>34843.31</v>
      </c>
      <c r="H386" t="s">
        <v>100</v>
      </c>
      <c r="I386">
        <v>54</v>
      </c>
      <c r="J386" t="s">
        <v>42</v>
      </c>
      <c r="K386" t="s">
        <v>26</v>
      </c>
      <c r="L386" t="s">
        <v>1498</v>
      </c>
      <c r="M386" t="s">
        <v>28</v>
      </c>
      <c r="N386" t="s">
        <v>62</v>
      </c>
      <c r="O386">
        <v>3.78</v>
      </c>
      <c r="P386">
        <v>45965.59</v>
      </c>
      <c r="Q386">
        <v>6</v>
      </c>
      <c r="R386">
        <v>579</v>
      </c>
      <c r="S386">
        <v>14889.6</v>
      </c>
      <c r="T386" t="s">
        <v>45</v>
      </c>
    </row>
    <row r="387" spans="1:20" x14ac:dyDescent="0.35">
      <c r="A387" t="s">
        <v>1499</v>
      </c>
      <c r="B387" t="s">
        <v>1500</v>
      </c>
      <c r="C387" t="s">
        <v>1501</v>
      </c>
      <c r="D387">
        <v>44676</v>
      </c>
      <c r="E387" t="s">
        <v>34</v>
      </c>
      <c r="F387">
        <v>9195.4699999999993</v>
      </c>
      <c r="G387">
        <v>30242.04</v>
      </c>
      <c r="H387" t="s">
        <v>24</v>
      </c>
      <c r="I387">
        <v>40</v>
      </c>
      <c r="J387" t="s">
        <v>42</v>
      </c>
      <c r="K387" t="s">
        <v>26</v>
      </c>
      <c r="L387" t="s">
        <v>713</v>
      </c>
      <c r="M387" t="s">
        <v>38</v>
      </c>
      <c r="N387" t="s">
        <v>62</v>
      </c>
      <c r="O387">
        <v>3.58</v>
      </c>
      <c r="R387">
        <v>670</v>
      </c>
      <c r="S387">
        <v>8905.58</v>
      </c>
      <c r="T387" t="s">
        <v>63</v>
      </c>
    </row>
    <row r="388" spans="1:20" x14ac:dyDescent="0.35">
      <c r="A388" t="s">
        <v>1502</v>
      </c>
      <c r="B388" t="s">
        <v>1503</v>
      </c>
      <c r="C388" t="s">
        <v>1504</v>
      </c>
      <c r="D388">
        <v>44861</v>
      </c>
      <c r="E388" t="s">
        <v>56</v>
      </c>
      <c r="F388">
        <v>3686.45</v>
      </c>
      <c r="G388">
        <v>25577.21</v>
      </c>
      <c r="H388" t="s">
        <v>100</v>
      </c>
      <c r="I388">
        <v>46</v>
      </c>
      <c r="J388" t="s">
        <v>42</v>
      </c>
      <c r="K388" t="s">
        <v>50</v>
      </c>
      <c r="L388" t="s">
        <v>1505</v>
      </c>
      <c r="M388" t="s">
        <v>28</v>
      </c>
      <c r="N388" t="s">
        <v>29</v>
      </c>
      <c r="O388">
        <v>3.75</v>
      </c>
      <c r="R388">
        <v>548</v>
      </c>
      <c r="S388">
        <v>10876.13</v>
      </c>
      <c r="T388" t="s">
        <v>45</v>
      </c>
    </row>
    <row r="389" spans="1:20" x14ac:dyDescent="0.35">
      <c r="A389" t="s">
        <v>1506</v>
      </c>
      <c r="B389" t="s">
        <v>1507</v>
      </c>
      <c r="C389" t="s">
        <v>1508</v>
      </c>
      <c r="D389">
        <v>44612</v>
      </c>
      <c r="E389" t="s">
        <v>34</v>
      </c>
      <c r="F389">
        <v>7284.59</v>
      </c>
      <c r="G389">
        <v>48833.16</v>
      </c>
      <c r="H389" t="s">
        <v>49</v>
      </c>
      <c r="I389">
        <v>38</v>
      </c>
      <c r="J389" t="s">
        <v>25</v>
      </c>
      <c r="K389" t="s">
        <v>36</v>
      </c>
      <c r="L389" t="s">
        <v>214</v>
      </c>
      <c r="M389" t="s">
        <v>52</v>
      </c>
      <c r="N389" t="s">
        <v>29</v>
      </c>
      <c r="O389">
        <v>2.4900000000000002</v>
      </c>
      <c r="R389">
        <v>480</v>
      </c>
      <c r="S389">
        <v>5085.08</v>
      </c>
      <c r="T389" t="s">
        <v>63</v>
      </c>
    </row>
    <row r="390" spans="1:20" x14ac:dyDescent="0.35">
      <c r="A390" t="s">
        <v>1509</v>
      </c>
      <c r="B390" t="s">
        <v>1510</v>
      </c>
      <c r="C390" t="s">
        <v>1511</v>
      </c>
      <c r="D390">
        <v>44720</v>
      </c>
      <c r="E390" t="s">
        <v>23</v>
      </c>
      <c r="F390">
        <v>8955.08</v>
      </c>
      <c r="G390">
        <v>34489.24</v>
      </c>
      <c r="H390" t="s">
        <v>125</v>
      </c>
      <c r="I390">
        <v>65</v>
      </c>
      <c r="J390" t="s">
        <v>42</v>
      </c>
      <c r="K390" t="s">
        <v>26</v>
      </c>
      <c r="L390" t="s">
        <v>1512</v>
      </c>
      <c r="M390" t="s">
        <v>28</v>
      </c>
      <c r="N390" t="s">
        <v>29</v>
      </c>
      <c r="O390">
        <v>2.0499999999999998</v>
      </c>
      <c r="P390">
        <v>38061.86</v>
      </c>
      <c r="R390">
        <v>377</v>
      </c>
      <c r="S390">
        <v>7688.77</v>
      </c>
      <c r="T390" t="s">
        <v>30</v>
      </c>
    </row>
    <row r="391" spans="1:20" x14ac:dyDescent="0.35">
      <c r="A391" t="s">
        <v>1513</v>
      </c>
      <c r="B391" t="s">
        <v>1514</v>
      </c>
      <c r="C391" t="s">
        <v>1515</v>
      </c>
      <c r="D391">
        <v>44570</v>
      </c>
      <c r="E391" t="s">
        <v>56</v>
      </c>
      <c r="F391">
        <v>4614.1899999999996</v>
      </c>
      <c r="G391">
        <v>19396.61</v>
      </c>
      <c r="H391" t="s">
        <v>49</v>
      </c>
      <c r="I391">
        <v>62</v>
      </c>
      <c r="J391" t="s">
        <v>42</v>
      </c>
      <c r="K391" t="s">
        <v>36</v>
      </c>
      <c r="L391" t="s">
        <v>1516</v>
      </c>
      <c r="M391" t="s">
        <v>52</v>
      </c>
      <c r="N391" t="s">
        <v>44</v>
      </c>
      <c r="O391">
        <v>4.04</v>
      </c>
      <c r="Q391">
        <v>24</v>
      </c>
      <c r="R391">
        <v>635</v>
      </c>
      <c r="S391">
        <v>13129.24</v>
      </c>
      <c r="T391" t="s">
        <v>63</v>
      </c>
    </row>
    <row r="392" spans="1:20" x14ac:dyDescent="0.35">
      <c r="A392" t="s">
        <v>1517</v>
      </c>
      <c r="B392" t="s">
        <v>1518</v>
      </c>
      <c r="C392" t="s">
        <v>1519</v>
      </c>
      <c r="D392">
        <v>45081</v>
      </c>
      <c r="E392" t="s">
        <v>23</v>
      </c>
      <c r="F392">
        <v>4490.21</v>
      </c>
      <c r="G392">
        <v>40203.599999999999</v>
      </c>
      <c r="H392" t="s">
        <v>35</v>
      </c>
      <c r="I392">
        <v>62</v>
      </c>
      <c r="J392" t="s">
        <v>42</v>
      </c>
      <c r="K392" t="s">
        <v>26</v>
      </c>
      <c r="L392" t="s">
        <v>1520</v>
      </c>
      <c r="M392" t="s">
        <v>38</v>
      </c>
      <c r="N392" t="s">
        <v>62</v>
      </c>
      <c r="O392">
        <v>4.09</v>
      </c>
      <c r="P392">
        <v>16355.03</v>
      </c>
      <c r="R392">
        <v>349</v>
      </c>
      <c r="S392">
        <v>4176.5</v>
      </c>
      <c r="T392" t="s">
        <v>45</v>
      </c>
    </row>
    <row r="393" spans="1:20" x14ac:dyDescent="0.35">
      <c r="A393" t="s">
        <v>1521</v>
      </c>
      <c r="B393" t="s">
        <v>1522</v>
      </c>
      <c r="C393" t="s">
        <v>1523</v>
      </c>
      <c r="D393">
        <v>44808</v>
      </c>
      <c r="E393" t="s">
        <v>56</v>
      </c>
      <c r="F393">
        <v>6060.96</v>
      </c>
      <c r="G393">
        <v>44344.58</v>
      </c>
      <c r="H393" t="s">
        <v>35</v>
      </c>
      <c r="I393">
        <v>66</v>
      </c>
      <c r="J393" t="s">
        <v>25</v>
      </c>
      <c r="K393" t="s">
        <v>26</v>
      </c>
      <c r="L393" t="s">
        <v>1524</v>
      </c>
      <c r="M393" t="s">
        <v>38</v>
      </c>
      <c r="N393" t="s">
        <v>44</v>
      </c>
      <c r="O393">
        <v>2.82</v>
      </c>
      <c r="P393">
        <v>23661.42</v>
      </c>
      <c r="R393">
        <v>384</v>
      </c>
      <c r="S393">
        <v>5451.96</v>
      </c>
      <c r="T393" t="s">
        <v>30</v>
      </c>
    </row>
    <row r="394" spans="1:20" x14ac:dyDescent="0.35">
      <c r="A394" t="s">
        <v>1525</v>
      </c>
      <c r="B394" t="s">
        <v>1526</v>
      </c>
      <c r="C394" t="s">
        <v>1527</v>
      </c>
      <c r="D394">
        <v>44569</v>
      </c>
      <c r="E394" t="s">
        <v>56</v>
      </c>
      <c r="F394">
        <v>5954.93</v>
      </c>
      <c r="G394">
        <v>7135.81</v>
      </c>
      <c r="H394" t="s">
        <v>35</v>
      </c>
      <c r="I394">
        <v>44</v>
      </c>
      <c r="J394" t="s">
        <v>42</v>
      </c>
      <c r="K394" t="s">
        <v>26</v>
      </c>
      <c r="L394" t="s">
        <v>1528</v>
      </c>
      <c r="M394" t="s">
        <v>28</v>
      </c>
      <c r="N394" t="s">
        <v>44</v>
      </c>
      <c r="O394">
        <v>3.45</v>
      </c>
      <c r="R394">
        <v>303</v>
      </c>
      <c r="S394">
        <v>7790.64</v>
      </c>
      <c r="T394" t="s">
        <v>45</v>
      </c>
    </row>
    <row r="395" spans="1:20" x14ac:dyDescent="0.35">
      <c r="A395" t="s">
        <v>1529</v>
      </c>
      <c r="B395" t="s">
        <v>1530</v>
      </c>
      <c r="C395" t="s">
        <v>1531</v>
      </c>
      <c r="D395">
        <v>44973</v>
      </c>
      <c r="E395" t="s">
        <v>56</v>
      </c>
      <c r="F395">
        <v>8085.23</v>
      </c>
      <c r="G395">
        <v>10827.1</v>
      </c>
      <c r="H395" t="s">
        <v>100</v>
      </c>
      <c r="I395">
        <v>56</v>
      </c>
      <c r="J395" t="s">
        <v>42</v>
      </c>
      <c r="K395" t="s">
        <v>26</v>
      </c>
      <c r="L395" t="s">
        <v>1532</v>
      </c>
      <c r="M395" t="s">
        <v>52</v>
      </c>
      <c r="N395" t="s">
        <v>29</v>
      </c>
      <c r="O395">
        <v>2.4900000000000002</v>
      </c>
      <c r="Q395">
        <v>6</v>
      </c>
      <c r="R395">
        <v>616</v>
      </c>
      <c r="S395">
        <v>11259.24</v>
      </c>
      <c r="T395" t="s">
        <v>45</v>
      </c>
    </row>
    <row r="396" spans="1:20" x14ac:dyDescent="0.35">
      <c r="A396" t="s">
        <v>1533</v>
      </c>
      <c r="B396" t="s">
        <v>1534</v>
      </c>
      <c r="C396" t="s">
        <v>1535</v>
      </c>
      <c r="D396">
        <v>45004</v>
      </c>
      <c r="E396" t="s">
        <v>56</v>
      </c>
      <c r="F396">
        <v>4817.1899999999996</v>
      </c>
      <c r="G396">
        <v>11595.12</v>
      </c>
      <c r="H396" t="s">
        <v>24</v>
      </c>
      <c r="I396">
        <v>57</v>
      </c>
      <c r="J396" t="s">
        <v>42</v>
      </c>
      <c r="K396" t="s">
        <v>36</v>
      </c>
      <c r="L396" t="s">
        <v>1536</v>
      </c>
      <c r="M396" t="s">
        <v>28</v>
      </c>
      <c r="N396" t="s">
        <v>29</v>
      </c>
      <c r="O396">
        <v>3.81</v>
      </c>
      <c r="P396">
        <v>9667.86</v>
      </c>
      <c r="R396">
        <v>410</v>
      </c>
      <c r="S396">
        <v>6886.49</v>
      </c>
      <c r="T396" t="s">
        <v>63</v>
      </c>
    </row>
    <row r="397" spans="1:20" x14ac:dyDescent="0.35">
      <c r="A397" t="s">
        <v>1537</v>
      </c>
      <c r="B397" t="s">
        <v>1538</v>
      </c>
      <c r="C397" t="s">
        <v>1539</v>
      </c>
      <c r="D397">
        <v>44690</v>
      </c>
      <c r="E397" t="s">
        <v>23</v>
      </c>
      <c r="F397">
        <v>9961.6200000000008</v>
      </c>
      <c r="G397">
        <v>34869.379999999997</v>
      </c>
      <c r="H397" t="s">
        <v>49</v>
      </c>
      <c r="I397">
        <v>30</v>
      </c>
      <c r="J397" t="s">
        <v>25</v>
      </c>
      <c r="K397" t="s">
        <v>36</v>
      </c>
      <c r="L397" t="s">
        <v>1540</v>
      </c>
      <c r="M397" t="s">
        <v>38</v>
      </c>
      <c r="N397" t="s">
        <v>44</v>
      </c>
      <c r="O397">
        <v>4.34</v>
      </c>
      <c r="P397">
        <v>42615.93</v>
      </c>
      <c r="R397">
        <v>633</v>
      </c>
      <c r="S397">
        <v>14060.52</v>
      </c>
      <c r="T397" t="s">
        <v>45</v>
      </c>
    </row>
    <row r="398" spans="1:20" x14ac:dyDescent="0.35">
      <c r="A398" t="s">
        <v>1541</v>
      </c>
      <c r="B398" t="s">
        <v>1542</v>
      </c>
      <c r="C398" t="s">
        <v>1543</v>
      </c>
      <c r="D398">
        <v>44950</v>
      </c>
      <c r="E398" t="s">
        <v>56</v>
      </c>
      <c r="F398">
        <v>688.77</v>
      </c>
      <c r="G398">
        <v>30548.94</v>
      </c>
      <c r="H398" t="s">
        <v>49</v>
      </c>
      <c r="I398">
        <v>40</v>
      </c>
      <c r="J398" t="s">
        <v>25</v>
      </c>
      <c r="K398" t="s">
        <v>36</v>
      </c>
      <c r="L398" t="s">
        <v>1544</v>
      </c>
      <c r="M398" t="s">
        <v>28</v>
      </c>
      <c r="N398" t="s">
        <v>44</v>
      </c>
      <c r="O398">
        <v>3.75</v>
      </c>
      <c r="P398">
        <v>41654.92</v>
      </c>
      <c r="Q398">
        <v>7</v>
      </c>
      <c r="R398">
        <v>432</v>
      </c>
      <c r="S398">
        <v>3227.94</v>
      </c>
      <c r="T398" t="s">
        <v>63</v>
      </c>
    </row>
    <row r="399" spans="1:20" x14ac:dyDescent="0.35">
      <c r="A399" t="s">
        <v>1545</v>
      </c>
      <c r="B399" t="s">
        <v>1546</v>
      </c>
      <c r="C399" t="s">
        <v>1547</v>
      </c>
      <c r="D399">
        <v>44986</v>
      </c>
      <c r="E399" t="s">
        <v>56</v>
      </c>
      <c r="F399">
        <v>131.36000000000001</v>
      </c>
      <c r="G399">
        <v>31330.59</v>
      </c>
      <c r="H399" t="s">
        <v>49</v>
      </c>
      <c r="I399">
        <v>33</v>
      </c>
      <c r="J399" t="s">
        <v>25</v>
      </c>
      <c r="K399" t="s">
        <v>36</v>
      </c>
      <c r="L399" t="s">
        <v>570</v>
      </c>
      <c r="M399" t="s">
        <v>28</v>
      </c>
      <c r="N399" t="s">
        <v>29</v>
      </c>
      <c r="O399">
        <v>3.05</v>
      </c>
      <c r="P399">
        <v>29012.23</v>
      </c>
      <c r="R399">
        <v>418</v>
      </c>
      <c r="S399">
        <v>6820.45</v>
      </c>
      <c r="T399" t="s">
        <v>30</v>
      </c>
    </row>
    <row r="400" spans="1:20" x14ac:dyDescent="0.35">
      <c r="A400" t="s">
        <v>1548</v>
      </c>
      <c r="B400" t="s">
        <v>1549</v>
      </c>
      <c r="C400" t="s">
        <v>1550</v>
      </c>
      <c r="D400">
        <v>45108</v>
      </c>
      <c r="E400" t="s">
        <v>34</v>
      </c>
      <c r="F400">
        <v>6437.96</v>
      </c>
      <c r="G400">
        <v>47097.89</v>
      </c>
      <c r="H400" t="s">
        <v>49</v>
      </c>
      <c r="I400">
        <v>47</v>
      </c>
      <c r="J400" t="s">
        <v>25</v>
      </c>
      <c r="K400" t="s">
        <v>50</v>
      </c>
      <c r="L400" t="s">
        <v>1551</v>
      </c>
      <c r="M400" t="s">
        <v>52</v>
      </c>
      <c r="N400" t="s">
        <v>29</v>
      </c>
      <c r="O400">
        <v>2.83</v>
      </c>
      <c r="Q400">
        <v>12</v>
      </c>
      <c r="R400">
        <v>649</v>
      </c>
      <c r="S400">
        <v>11216.4</v>
      </c>
      <c r="T400" t="s">
        <v>30</v>
      </c>
    </row>
    <row r="401" spans="1:20" x14ac:dyDescent="0.35">
      <c r="A401" t="s">
        <v>1552</v>
      </c>
      <c r="B401" t="s">
        <v>1553</v>
      </c>
      <c r="C401" t="s">
        <v>1554</v>
      </c>
      <c r="D401">
        <v>44890</v>
      </c>
      <c r="E401" t="s">
        <v>71</v>
      </c>
      <c r="F401">
        <v>3054.51</v>
      </c>
      <c r="G401">
        <v>39019.67</v>
      </c>
      <c r="H401" t="s">
        <v>35</v>
      </c>
      <c r="I401">
        <v>21</v>
      </c>
      <c r="J401" t="s">
        <v>42</v>
      </c>
      <c r="K401" t="s">
        <v>26</v>
      </c>
      <c r="L401" t="s">
        <v>1555</v>
      </c>
      <c r="M401" t="s">
        <v>38</v>
      </c>
      <c r="N401" t="s">
        <v>44</v>
      </c>
      <c r="O401">
        <v>3.57</v>
      </c>
      <c r="P401">
        <v>6151.05</v>
      </c>
      <c r="Q401">
        <v>16</v>
      </c>
      <c r="R401">
        <v>841</v>
      </c>
      <c r="S401">
        <v>4937.83</v>
      </c>
      <c r="T401" t="s">
        <v>45</v>
      </c>
    </row>
    <row r="402" spans="1:20" x14ac:dyDescent="0.35">
      <c r="A402" t="s">
        <v>1556</v>
      </c>
      <c r="B402" t="s">
        <v>1557</v>
      </c>
      <c r="C402" t="s">
        <v>1558</v>
      </c>
      <c r="D402">
        <v>44649</v>
      </c>
      <c r="E402" t="s">
        <v>71</v>
      </c>
      <c r="F402">
        <v>2479.79</v>
      </c>
      <c r="G402">
        <v>7268.91</v>
      </c>
      <c r="H402" t="s">
        <v>49</v>
      </c>
      <c r="I402">
        <v>57</v>
      </c>
      <c r="J402" t="s">
        <v>42</v>
      </c>
      <c r="K402" t="s">
        <v>26</v>
      </c>
      <c r="L402" t="s">
        <v>1559</v>
      </c>
      <c r="M402" t="s">
        <v>28</v>
      </c>
      <c r="N402" t="s">
        <v>29</v>
      </c>
      <c r="O402">
        <v>3.72</v>
      </c>
      <c r="R402">
        <v>354</v>
      </c>
      <c r="S402">
        <v>10533.37</v>
      </c>
      <c r="T402" t="s">
        <v>63</v>
      </c>
    </row>
    <row r="403" spans="1:20" x14ac:dyDescent="0.35">
      <c r="A403" t="s">
        <v>1560</v>
      </c>
      <c r="B403" t="s">
        <v>1561</v>
      </c>
      <c r="C403" t="s">
        <v>1562</v>
      </c>
      <c r="D403">
        <v>44800</v>
      </c>
      <c r="E403" t="s">
        <v>34</v>
      </c>
      <c r="F403">
        <v>3187.8</v>
      </c>
      <c r="G403">
        <v>18027.849999999999</v>
      </c>
      <c r="H403" t="s">
        <v>24</v>
      </c>
      <c r="I403">
        <v>33</v>
      </c>
      <c r="J403" t="s">
        <v>25</v>
      </c>
      <c r="K403" t="s">
        <v>26</v>
      </c>
      <c r="L403" t="s">
        <v>1330</v>
      </c>
      <c r="M403" t="s">
        <v>52</v>
      </c>
      <c r="N403" t="s">
        <v>29</v>
      </c>
      <c r="O403">
        <v>3.23</v>
      </c>
      <c r="R403">
        <v>660</v>
      </c>
      <c r="S403">
        <v>4134.82</v>
      </c>
      <c r="T403" t="s">
        <v>45</v>
      </c>
    </row>
    <row r="404" spans="1:20" x14ac:dyDescent="0.35">
      <c r="A404" t="s">
        <v>1563</v>
      </c>
      <c r="B404" t="s">
        <v>1564</v>
      </c>
      <c r="C404" t="s">
        <v>1565</v>
      </c>
      <c r="D404">
        <v>45100</v>
      </c>
      <c r="E404" t="s">
        <v>34</v>
      </c>
      <c r="F404">
        <v>2634.87</v>
      </c>
      <c r="G404">
        <v>22334.29</v>
      </c>
      <c r="H404" t="s">
        <v>35</v>
      </c>
      <c r="I404">
        <v>48</v>
      </c>
      <c r="J404" t="s">
        <v>25</v>
      </c>
      <c r="K404" t="s">
        <v>50</v>
      </c>
      <c r="L404" t="s">
        <v>1048</v>
      </c>
      <c r="M404" t="s">
        <v>28</v>
      </c>
      <c r="N404" t="s">
        <v>44</v>
      </c>
      <c r="O404">
        <v>3.5</v>
      </c>
      <c r="Q404">
        <v>23</v>
      </c>
      <c r="R404">
        <v>752</v>
      </c>
      <c r="S404">
        <v>2727.74</v>
      </c>
      <c r="T404" t="s">
        <v>45</v>
      </c>
    </row>
    <row r="405" spans="1:20" x14ac:dyDescent="0.35">
      <c r="A405" t="s">
        <v>1566</v>
      </c>
      <c r="B405" t="s">
        <v>1567</v>
      </c>
      <c r="C405" t="s">
        <v>1568</v>
      </c>
      <c r="D405">
        <v>44709</v>
      </c>
      <c r="E405" t="s">
        <v>23</v>
      </c>
      <c r="F405">
        <v>404.82</v>
      </c>
      <c r="G405">
        <v>20402.12</v>
      </c>
      <c r="H405" t="s">
        <v>49</v>
      </c>
      <c r="I405">
        <v>59</v>
      </c>
      <c r="J405" t="s">
        <v>42</v>
      </c>
      <c r="K405" t="s">
        <v>36</v>
      </c>
      <c r="L405" t="s">
        <v>1569</v>
      </c>
      <c r="M405" t="s">
        <v>52</v>
      </c>
      <c r="N405" t="s">
        <v>44</v>
      </c>
      <c r="O405">
        <v>1.39</v>
      </c>
      <c r="P405">
        <v>18671.32</v>
      </c>
      <c r="Q405">
        <v>2</v>
      </c>
      <c r="R405">
        <v>629</v>
      </c>
      <c r="S405">
        <v>3573.2</v>
      </c>
      <c r="T405" t="s">
        <v>45</v>
      </c>
    </row>
    <row r="406" spans="1:20" x14ac:dyDescent="0.35">
      <c r="A406" t="s">
        <v>1570</v>
      </c>
      <c r="B406" t="s">
        <v>1571</v>
      </c>
      <c r="C406" t="s">
        <v>1572</v>
      </c>
      <c r="D406">
        <v>44767</v>
      </c>
      <c r="E406" t="s">
        <v>23</v>
      </c>
      <c r="F406">
        <v>9718.18</v>
      </c>
      <c r="G406">
        <v>33796.120000000003</v>
      </c>
      <c r="H406" t="s">
        <v>100</v>
      </c>
      <c r="I406">
        <v>42</v>
      </c>
      <c r="J406" t="s">
        <v>42</v>
      </c>
      <c r="K406" t="s">
        <v>26</v>
      </c>
      <c r="L406" t="s">
        <v>130</v>
      </c>
      <c r="M406" t="s">
        <v>52</v>
      </c>
      <c r="N406" t="s">
        <v>62</v>
      </c>
      <c r="O406">
        <v>4.8099999999999996</v>
      </c>
      <c r="P406">
        <v>27926.720000000001</v>
      </c>
      <c r="R406">
        <v>518</v>
      </c>
      <c r="S406">
        <v>14089.8</v>
      </c>
      <c r="T406" t="s">
        <v>45</v>
      </c>
    </row>
    <row r="407" spans="1:20" x14ac:dyDescent="0.35">
      <c r="A407" t="s">
        <v>1573</v>
      </c>
      <c r="B407" t="s">
        <v>1574</v>
      </c>
      <c r="C407" t="s">
        <v>1575</v>
      </c>
      <c r="D407">
        <v>45145</v>
      </c>
      <c r="E407" t="s">
        <v>23</v>
      </c>
      <c r="F407">
        <v>2285.38</v>
      </c>
      <c r="G407">
        <v>44702.76</v>
      </c>
      <c r="H407" t="s">
        <v>125</v>
      </c>
      <c r="I407">
        <v>61</v>
      </c>
      <c r="J407" t="s">
        <v>25</v>
      </c>
      <c r="K407" t="s">
        <v>36</v>
      </c>
      <c r="L407" t="s">
        <v>1576</v>
      </c>
      <c r="M407" t="s">
        <v>28</v>
      </c>
      <c r="N407" t="s">
        <v>44</v>
      </c>
      <c r="O407">
        <v>4.16</v>
      </c>
      <c r="Q407">
        <v>8</v>
      </c>
      <c r="R407">
        <v>507</v>
      </c>
      <c r="S407">
        <v>9172.76</v>
      </c>
      <c r="T407" t="s">
        <v>63</v>
      </c>
    </row>
    <row r="408" spans="1:20" x14ac:dyDescent="0.35">
      <c r="A408" t="s">
        <v>1577</v>
      </c>
      <c r="B408" t="s">
        <v>1578</v>
      </c>
      <c r="C408" t="s">
        <v>1579</v>
      </c>
      <c r="D408">
        <v>44667</v>
      </c>
      <c r="E408" t="s">
        <v>34</v>
      </c>
      <c r="F408">
        <v>7366.89</v>
      </c>
      <c r="G408">
        <v>15996.52</v>
      </c>
      <c r="H408" t="s">
        <v>125</v>
      </c>
      <c r="I408">
        <v>29</v>
      </c>
      <c r="J408" t="s">
        <v>25</v>
      </c>
      <c r="K408" t="s">
        <v>36</v>
      </c>
      <c r="L408" t="s">
        <v>1528</v>
      </c>
      <c r="M408" t="s">
        <v>38</v>
      </c>
      <c r="N408" t="s">
        <v>29</v>
      </c>
      <c r="O408">
        <v>2.5</v>
      </c>
      <c r="Q408">
        <v>25</v>
      </c>
      <c r="R408">
        <v>384</v>
      </c>
      <c r="S408">
        <v>12352.5</v>
      </c>
      <c r="T408" t="s">
        <v>45</v>
      </c>
    </row>
    <row r="409" spans="1:20" x14ac:dyDescent="0.35">
      <c r="A409" t="s">
        <v>1580</v>
      </c>
      <c r="B409" t="s">
        <v>1581</v>
      </c>
      <c r="C409" t="s">
        <v>1582</v>
      </c>
      <c r="D409">
        <v>44600</v>
      </c>
      <c r="E409" t="s">
        <v>34</v>
      </c>
      <c r="F409">
        <v>7649.7</v>
      </c>
      <c r="G409">
        <v>28041.98</v>
      </c>
      <c r="H409" t="s">
        <v>125</v>
      </c>
      <c r="I409">
        <v>43</v>
      </c>
      <c r="J409" t="s">
        <v>25</v>
      </c>
      <c r="K409" t="s">
        <v>50</v>
      </c>
      <c r="L409" t="s">
        <v>1528</v>
      </c>
      <c r="M409" t="s">
        <v>38</v>
      </c>
      <c r="N409" t="s">
        <v>44</v>
      </c>
      <c r="O409">
        <v>3.25</v>
      </c>
      <c r="R409">
        <v>544</v>
      </c>
      <c r="S409">
        <v>6324.51</v>
      </c>
      <c r="T409" t="s">
        <v>30</v>
      </c>
    </row>
    <row r="410" spans="1:20" x14ac:dyDescent="0.35">
      <c r="A410" t="s">
        <v>1583</v>
      </c>
      <c r="B410" t="s">
        <v>1584</v>
      </c>
      <c r="C410" t="s">
        <v>1585</v>
      </c>
      <c r="D410">
        <v>44567</v>
      </c>
      <c r="E410" t="s">
        <v>56</v>
      </c>
      <c r="F410">
        <v>9299.65</v>
      </c>
      <c r="G410">
        <v>39681.06</v>
      </c>
      <c r="H410" t="s">
        <v>35</v>
      </c>
      <c r="I410">
        <v>54</v>
      </c>
      <c r="J410" t="s">
        <v>25</v>
      </c>
      <c r="K410" t="s">
        <v>50</v>
      </c>
      <c r="L410" t="s">
        <v>469</v>
      </c>
      <c r="M410" t="s">
        <v>52</v>
      </c>
      <c r="N410" t="s">
        <v>44</v>
      </c>
      <c r="O410">
        <v>1.19</v>
      </c>
      <c r="Q410">
        <v>20</v>
      </c>
      <c r="R410">
        <v>634</v>
      </c>
      <c r="S410">
        <v>9704.56</v>
      </c>
      <c r="T410" t="s">
        <v>63</v>
      </c>
    </row>
    <row r="411" spans="1:20" x14ac:dyDescent="0.35">
      <c r="A411" t="s">
        <v>1586</v>
      </c>
      <c r="B411" t="s">
        <v>1587</v>
      </c>
      <c r="C411" t="s">
        <v>1588</v>
      </c>
      <c r="D411">
        <v>44641</v>
      </c>
      <c r="E411" t="s">
        <v>23</v>
      </c>
      <c r="F411">
        <v>402.44</v>
      </c>
      <c r="G411">
        <v>21394.68</v>
      </c>
      <c r="H411" t="s">
        <v>49</v>
      </c>
      <c r="I411">
        <v>65</v>
      </c>
      <c r="J411" t="s">
        <v>42</v>
      </c>
      <c r="K411" t="s">
        <v>36</v>
      </c>
      <c r="L411" t="s">
        <v>316</v>
      </c>
      <c r="M411" t="s">
        <v>38</v>
      </c>
      <c r="N411" t="s">
        <v>44</v>
      </c>
      <c r="O411">
        <v>1.1599999999999999</v>
      </c>
      <c r="P411">
        <v>14684.93</v>
      </c>
      <c r="Q411">
        <v>16</v>
      </c>
      <c r="R411">
        <v>511</v>
      </c>
      <c r="S411">
        <v>8434.3799999999992</v>
      </c>
      <c r="T411" t="s">
        <v>45</v>
      </c>
    </row>
    <row r="412" spans="1:20" x14ac:dyDescent="0.35">
      <c r="A412" t="s">
        <v>1589</v>
      </c>
      <c r="B412" t="s">
        <v>1590</v>
      </c>
      <c r="C412" t="s">
        <v>1591</v>
      </c>
      <c r="D412">
        <v>44932</v>
      </c>
      <c r="E412" t="s">
        <v>23</v>
      </c>
      <c r="F412">
        <v>8733.2800000000007</v>
      </c>
      <c r="G412">
        <v>9237.7900000000009</v>
      </c>
      <c r="H412" t="s">
        <v>35</v>
      </c>
      <c r="I412">
        <v>50</v>
      </c>
      <c r="J412" t="s">
        <v>25</v>
      </c>
      <c r="K412" t="s">
        <v>26</v>
      </c>
      <c r="L412" t="s">
        <v>1592</v>
      </c>
      <c r="M412" t="s">
        <v>52</v>
      </c>
      <c r="N412" t="s">
        <v>62</v>
      </c>
      <c r="O412">
        <v>2</v>
      </c>
      <c r="Q412">
        <v>4</v>
      </c>
      <c r="R412">
        <v>482</v>
      </c>
      <c r="S412">
        <v>14294.59</v>
      </c>
      <c r="T412" t="s">
        <v>63</v>
      </c>
    </row>
    <row r="413" spans="1:20" x14ac:dyDescent="0.35">
      <c r="A413" t="s">
        <v>1593</v>
      </c>
      <c r="B413" t="s">
        <v>1594</v>
      </c>
      <c r="C413" t="s">
        <v>1595</v>
      </c>
      <c r="D413">
        <v>44887</v>
      </c>
      <c r="E413" t="s">
        <v>23</v>
      </c>
      <c r="F413">
        <v>5319.54</v>
      </c>
      <c r="G413">
        <v>24272.6</v>
      </c>
      <c r="H413" t="s">
        <v>24</v>
      </c>
      <c r="I413">
        <v>45</v>
      </c>
      <c r="J413" t="s">
        <v>25</v>
      </c>
      <c r="K413" t="s">
        <v>26</v>
      </c>
      <c r="L413" t="s">
        <v>222</v>
      </c>
      <c r="M413" t="s">
        <v>38</v>
      </c>
      <c r="N413" t="s">
        <v>62</v>
      </c>
      <c r="O413">
        <v>3.76</v>
      </c>
      <c r="P413">
        <v>28932.06</v>
      </c>
      <c r="Q413">
        <v>29</v>
      </c>
      <c r="R413">
        <v>432</v>
      </c>
      <c r="S413">
        <v>11718.47</v>
      </c>
      <c r="T413" t="s">
        <v>45</v>
      </c>
    </row>
    <row r="414" spans="1:20" x14ac:dyDescent="0.35">
      <c r="A414" t="s">
        <v>1596</v>
      </c>
      <c r="B414" t="s">
        <v>1597</v>
      </c>
      <c r="C414" t="s">
        <v>1598</v>
      </c>
      <c r="D414">
        <v>44845</v>
      </c>
      <c r="E414" t="s">
        <v>71</v>
      </c>
      <c r="F414">
        <v>6362.19</v>
      </c>
      <c r="G414">
        <v>3705.9</v>
      </c>
      <c r="H414" t="s">
        <v>100</v>
      </c>
      <c r="I414">
        <v>26</v>
      </c>
      <c r="J414" t="s">
        <v>42</v>
      </c>
      <c r="K414" t="s">
        <v>50</v>
      </c>
      <c r="L414" t="s">
        <v>1599</v>
      </c>
      <c r="M414" t="s">
        <v>28</v>
      </c>
      <c r="N414" t="s">
        <v>29</v>
      </c>
      <c r="O414">
        <v>4.41</v>
      </c>
      <c r="P414">
        <v>7795.66</v>
      </c>
      <c r="Q414">
        <v>16</v>
      </c>
      <c r="R414">
        <v>649</v>
      </c>
      <c r="S414">
        <v>11497.05</v>
      </c>
      <c r="T414" t="s">
        <v>30</v>
      </c>
    </row>
    <row r="415" spans="1:20" x14ac:dyDescent="0.35">
      <c r="A415" t="s">
        <v>1600</v>
      </c>
      <c r="B415" t="s">
        <v>1601</v>
      </c>
      <c r="C415" t="s">
        <v>1602</v>
      </c>
      <c r="D415">
        <v>44983</v>
      </c>
      <c r="E415" t="s">
        <v>56</v>
      </c>
      <c r="F415">
        <v>6480.26</v>
      </c>
      <c r="G415">
        <v>47176.79</v>
      </c>
      <c r="H415" t="s">
        <v>100</v>
      </c>
      <c r="I415">
        <v>29</v>
      </c>
      <c r="J415" t="s">
        <v>42</v>
      </c>
      <c r="K415" t="s">
        <v>50</v>
      </c>
      <c r="L415" t="s">
        <v>1254</v>
      </c>
      <c r="M415" t="s">
        <v>38</v>
      </c>
      <c r="N415" t="s">
        <v>62</v>
      </c>
      <c r="O415">
        <v>3.24</v>
      </c>
      <c r="P415">
        <v>39495.08</v>
      </c>
      <c r="Q415">
        <v>20</v>
      </c>
      <c r="R415">
        <v>581</v>
      </c>
      <c r="S415">
        <v>2602.59</v>
      </c>
      <c r="T415" t="s">
        <v>30</v>
      </c>
    </row>
    <row r="416" spans="1:20" x14ac:dyDescent="0.35">
      <c r="A416" t="s">
        <v>1603</v>
      </c>
      <c r="B416" t="s">
        <v>1604</v>
      </c>
      <c r="C416" t="s">
        <v>1605</v>
      </c>
      <c r="D416">
        <v>45110</v>
      </c>
      <c r="E416" t="s">
        <v>23</v>
      </c>
      <c r="F416">
        <v>8216</v>
      </c>
      <c r="G416">
        <v>4666.24</v>
      </c>
      <c r="H416" t="s">
        <v>125</v>
      </c>
      <c r="I416">
        <v>22</v>
      </c>
      <c r="J416" t="s">
        <v>42</v>
      </c>
      <c r="K416" t="s">
        <v>50</v>
      </c>
      <c r="L416" t="s">
        <v>761</v>
      </c>
      <c r="M416" t="s">
        <v>52</v>
      </c>
      <c r="N416" t="s">
        <v>44</v>
      </c>
      <c r="O416">
        <v>3.13</v>
      </c>
      <c r="P416">
        <v>37364.519999999997</v>
      </c>
      <c r="R416">
        <v>592</v>
      </c>
      <c r="S416">
        <v>9145.7099999999991</v>
      </c>
      <c r="T416" t="s">
        <v>30</v>
      </c>
    </row>
    <row r="417" spans="1:20" x14ac:dyDescent="0.35">
      <c r="A417" t="s">
        <v>1606</v>
      </c>
      <c r="B417" t="s">
        <v>1607</v>
      </c>
      <c r="C417" t="s">
        <v>1608</v>
      </c>
      <c r="D417">
        <v>44846</v>
      </c>
      <c r="E417" t="s">
        <v>23</v>
      </c>
      <c r="F417">
        <v>3400.73</v>
      </c>
      <c r="G417">
        <v>22484.38</v>
      </c>
      <c r="H417" t="s">
        <v>125</v>
      </c>
      <c r="I417">
        <v>69</v>
      </c>
      <c r="J417" t="s">
        <v>42</v>
      </c>
      <c r="K417" t="s">
        <v>50</v>
      </c>
      <c r="L417" t="s">
        <v>304</v>
      </c>
      <c r="M417" t="s">
        <v>52</v>
      </c>
      <c r="N417" t="s">
        <v>62</v>
      </c>
      <c r="O417">
        <v>2.61</v>
      </c>
      <c r="Q417">
        <v>27</v>
      </c>
      <c r="R417">
        <v>568</v>
      </c>
      <c r="S417">
        <v>8070.89</v>
      </c>
      <c r="T417" t="s">
        <v>63</v>
      </c>
    </row>
    <row r="418" spans="1:20" x14ac:dyDescent="0.35">
      <c r="A418" t="s">
        <v>1609</v>
      </c>
      <c r="B418" t="s">
        <v>1610</v>
      </c>
      <c r="C418" t="s">
        <v>1611</v>
      </c>
      <c r="D418">
        <v>45048</v>
      </c>
      <c r="E418" t="s">
        <v>23</v>
      </c>
      <c r="F418">
        <v>7357.21</v>
      </c>
      <c r="G418">
        <v>26964.18</v>
      </c>
      <c r="H418" t="s">
        <v>125</v>
      </c>
      <c r="I418">
        <v>45</v>
      </c>
      <c r="J418" t="s">
        <v>42</v>
      </c>
      <c r="K418" t="s">
        <v>50</v>
      </c>
      <c r="L418" t="s">
        <v>121</v>
      </c>
      <c r="M418" t="s">
        <v>38</v>
      </c>
      <c r="N418" t="s">
        <v>44</v>
      </c>
      <c r="O418">
        <v>1.65</v>
      </c>
      <c r="P418">
        <v>33780.29</v>
      </c>
      <c r="R418">
        <v>496</v>
      </c>
      <c r="S418">
        <v>14061.95</v>
      </c>
      <c r="T418" t="s">
        <v>30</v>
      </c>
    </row>
    <row r="419" spans="1:20" x14ac:dyDescent="0.35">
      <c r="A419" t="s">
        <v>1612</v>
      </c>
      <c r="B419" t="s">
        <v>1613</v>
      </c>
      <c r="C419" t="s">
        <v>1614</v>
      </c>
      <c r="D419">
        <v>44691</v>
      </c>
      <c r="E419" t="s">
        <v>71</v>
      </c>
      <c r="F419">
        <v>5332.92</v>
      </c>
      <c r="G419">
        <v>49279.89</v>
      </c>
      <c r="H419" t="s">
        <v>49</v>
      </c>
      <c r="I419">
        <v>52</v>
      </c>
      <c r="J419" t="s">
        <v>25</v>
      </c>
      <c r="K419" t="s">
        <v>50</v>
      </c>
      <c r="L419" t="s">
        <v>1615</v>
      </c>
      <c r="M419" t="s">
        <v>28</v>
      </c>
      <c r="N419" t="s">
        <v>62</v>
      </c>
      <c r="O419">
        <v>1.47</v>
      </c>
      <c r="R419">
        <v>836</v>
      </c>
      <c r="S419">
        <v>5345.45</v>
      </c>
      <c r="T419" t="s">
        <v>45</v>
      </c>
    </row>
    <row r="420" spans="1:20" x14ac:dyDescent="0.35">
      <c r="A420" t="s">
        <v>1616</v>
      </c>
      <c r="B420" t="s">
        <v>1617</v>
      </c>
      <c r="C420" t="s">
        <v>1618</v>
      </c>
      <c r="D420">
        <v>44666</v>
      </c>
      <c r="E420" t="s">
        <v>71</v>
      </c>
      <c r="F420">
        <v>7954.6</v>
      </c>
      <c r="G420">
        <v>9135.07</v>
      </c>
      <c r="H420" t="s">
        <v>24</v>
      </c>
      <c r="I420">
        <v>22</v>
      </c>
      <c r="J420" t="s">
        <v>25</v>
      </c>
      <c r="K420" t="s">
        <v>50</v>
      </c>
      <c r="L420" t="s">
        <v>1619</v>
      </c>
      <c r="M420" t="s">
        <v>52</v>
      </c>
      <c r="N420" t="s">
        <v>62</v>
      </c>
      <c r="O420">
        <v>4.04</v>
      </c>
      <c r="P420">
        <v>16391.849999999999</v>
      </c>
      <c r="R420">
        <v>319</v>
      </c>
      <c r="S420">
        <v>5507.83</v>
      </c>
      <c r="T420" t="s">
        <v>45</v>
      </c>
    </row>
    <row r="421" spans="1:20" x14ac:dyDescent="0.35">
      <c r="A421" t="s">
        <v>1620</v>
      </c>
      <c r="B421" t="s">
        <v>1621</v>
      </c>
      <c r="C421" t="s">
        <v>1622</v>
      </c>
      <c r="D421">
        <v>45118</v>
      </c>
      <c r="E421" t="s">
        <v>34</v>
      </c>
      <c r="F421">
        <v>9906.41</v>
      </c>
      <c r="G421">
        <v>6607.14</v>
      </c>
      <c r="H421" t="s">
        <v>24</v>
      </c>
      <c r="I421">
        <v>51</v>
      </c>
      <c r="J421" t="s">
        <v>25</v>
      </c>
      <c r="K421" t="s">
        <v>26</v>
      </c>
      <c r="L421" t="s">
        <v>426</v>
      </c>
      <c r="M421" t="s">
        <v>52</v>
      </c>
      <c r="N421" t="s">
        <v>62</v>
      </c>
      <c r="O421">
        <v>4.71</v>
      </c>
      <c r="R421">
        <v>704</v>
      </c>
      <c r="S421">
        <v>7347.5</v>
      </c>
      <c r="T421" t="s">
        <v>45</v>
      </c>
    </row>
    <row r="422" spans="1:20" x14ac:dyDescent="0.35">
      <c r="A422" t="s">
        <v>1623</v>
      </c>
      <c r="B422" t="s">
        <v>1624</v>
      </c>
      <c r="C422" t="s">
        <v>1625</v>
      </c>
      <c r="D422">
        <v>45117</v>
      </c>
      <c r="E422" t="s">
        <v>56</v>
      </c>
      <c r="F422">
        <v>2086.4499999999998</v>
      </c>
      <c r="G422">
        <v>1426.6</v>
      </c>
      <c r="H422" t="s">
        <v>24</v>
      </c>
      <c r="I422">
        <v>63</v>
      </c>
      <c r="J422" t="s">
        <v>42</v>
      </c>
      <c r="K422" t="s">
        <v>50</v>
      </c>
      <c r="L422" t="s">
        <v>1626</v>
      </c>
      <c r="M422" t="s">
        <v>52</v>
      </c>
      <c r="N422" t="s">
        <v>44</v>
      </c>
      <c r="O422">
        <v>2.83</v>
      </c>
      <c r="R422">
        <v>414</v>
      </c>
      <c r="S422">
        <v>5163.8100000000004</v>
      </c>
      <c r="T422" t="s">
        <v>63</v>
      </c>
    </row>
    <row r="423" spans="1:20" x14ac:dyDescent="0.35">
      <c r="A423" t="s">
        <v>1627</v>
      </c>
      <c r="B423" t="s">
        <v>1628</v>
      </c>
      <c r="C423" t="s">
        <v>1629</v>
      </c>
      <c r="D423">
        <v>44965</v>
      </c>
      <c r="E423" t="s">
        <v>34</v>
      </c>
      <c r="F423">
        <v>9947.02</v>
      </c>
      <c r="G423">
        <v>8623</v>
      </c>
      <c r="H423" t="s">
        <v>24</v>
      </c>
      <c r="I423">
        <v>51</v>
      </c>
      <c r="J423" t="s">
        <v>25</v>
      </c>
      <c r="K423" t="s">
        <v>50</v>
      </c>
      <c r="L423" t="s">
        <v>1630</v>
      </c>
      <c r="M423" t="s">
        <v>52</v>
      </c>
      <c r="N423" t="s">
        <v>62</v>
      </c>
      <c r="O423">
        <v>3.64</v>
      </c>
      <c r="R423">
        <v>325</v>
      </c>
      <c r="S423">
        <v>3679.39</v>
      </c>
      <c r="T423" t="s">
        <v>63</v>
      </c>
    </row>
    <row r="424" spans="1:20" x14ac:dyDescent="0.35">
      <c r="A424" t="s">
        <v>1631</v>
      </c>
      <c r="B424" t="s">
        <v>1632</v>
      </c>
      <c r="C424" t="s">
        <v>1633</v>
      </c>
      <c r="D424">
        <v>44936</v>
      </c>
      <c r="E424" t="s">
        <v>56</v>
      </c>
      <c r="F424">
        <v>989.14</v>
      </c>
      <c r="G424">
        <v>11156.38</v>
      </c>
      <c r="H424" t="s">
        <v>125</v>
      </c>
      <c r="I424">
        <v>30</v>
      </c>
      <c r="J424" t="s">
        <v>42</v>
      </c>
      <c r="K424" t="s">
        <v>26</v>
      </c>
      <c r="L424" t="s">
        <v>1634</v>
      </c>
      <c r="M424" t="s">
        <v>52</v>
      </c>
      <c r="N424" t="s">
        <v>44</v>
      </c>
      <c r="O424">
        <v>4.66</v>
      </c>
      <c r="R424">
        <v>694</v>
      </c>
      <c r="S424">
        <v>13146.39</v>
      </c>
      <c r="T424" t="s">
        <v>30</v>
      </c>
    </row>
    <row r="425" spans="1:20" x14ac:dyDescent="0.35">
      <c r="A425" t="s">
        <v>1635</v>
      </c>
      <c r="B425" t="s">
        <v>1636</v>
      </c>
      <c r="C425" t="s">
        <v>1637</v>
      </c>
      <c r="D425">
        <v>44815</v>
      </c>
      <c r="E425" t="s">
        <v>71</v>
      </c>
      <c r="F425">
        <v>122.94</v>
      </c>
      <c r="G425">
        <v>31898.47</v>
      </c>
      <c r="H425" t="s">
        <v>100</v>
      </c>
      <c r="I425">
        <v>56</v>
      </c>
      <c r="J425" t="s">
        <v>25</v>
      </c>
      <c r="K425" t="s">
        <v>26</v>
      </c>
      <c r="L425" t="s">
        <v>1638</v>
      </c>
      <c r="M425" t="s">
        <v>28</v>
      </c>
      <c r="N425" t="s">
        <v>44</v>
      </c>
      <c r="O425">
        <v>1.36</v>
      </c>
      <c r="R425">
        <v>680</v>
      </c>
      <c r="S425">
        <v>9257.59</v>
      </c>
      <c r="T425" t="s">
        <v>63</v>
      </c>
    </row>
    <row r="426" spans="1:20" x14ac:dyDescent="0.35">
      <c r="A426" t="s">
        <v>1639</v>
      </c>
      <c r="B426" t="s">
        <v>1640</v>
      </c>
      <c r="C426" t="s">
        <v>1641</v>
      </c>
      <c r="D426">
        <v>44966</v>
      </c>
      <c r="E426" t="s">
        <v>23</v>
      </c>
      <c r="F426">
        <v>537.20000000000005</v>
      </c>
      <c r="G426">
        <v>11765.63</v>
      </c>
      <c r="H426" t="s">
        <v>125</v>
      </c>
      <c r="I426">
        <v>59</v>
      </c>
      <c r="J426" t="s">
        <v>25</v>
      </c>
      <c r="K426" t="s">
        <v>36</v>
      </c>
      <c r="L426" t="s">
        <v>300</v>
      </c>
      <c r="M426" t="s">
        <v>38</v>
      </c>
      <c r="N426" t="s">
        <v>29</v>
      </c>
      <c r="O426">
        <v>4.08</v>
      </c>
      <c r="P426">
        <v>19503.39</v>
      </c>
      <c r="Q426">
        <v>26</v>
      </c>
      <c r="R426">
        <v>822</v>
      </c>
      <c r="S426">
        <v>13197.72</v>
      </c>
      <c r="T426" t="s">
        <v>45</v>
      </c>
    </row>
    <row r="427" spans="1:20" x14ac:dyDescent="0.35">
      <c r="A427" t="s">
        <v>1642</v>
      </c>
      <c r="B427" t="s">
        <v>1643</v>
      </c>
      <c r="C427" t="s">
        <v>1644</v>
      </c>
      <c r="D427">
        <v>44896</v>
      </c>
      <c r="E427" t="s">
        <v>34</v>
      </c>
      <c r="F427">
        <v>3483.65</v>
      </c>
      <c r="G427">
        <v>2005.52</v>
      </c>
      <c r="H427" t="s">
        <v>24</v>
      </c>
      <c r="I427">
        <v>62</v>
      </c>
      <c r="J427" t="s">
        <v>42</v>
      </c>
      <c r="K427" t="s">
        <v>50</v>
      </c>
      <c r="L427" t="s">
        <v>1645</v>
      </c>
      <c r="M427" t="s">
        <v>28</v>
      </c>
      <c r="N427" t="s">
        <v>62</v>
      </c>
      <c r="O427">
        <v>3.47</v>
      </c>
      <c r="R427">
        <v>838</v>
      </c>
      <c r="S427">
        <v>12804.75</v>
      </c>
      <c r="T427" t="s">
        <v>45</v>
      </c>
    </row>
    <row r="428" spans="1:20" x14ac:dyDescent="0.35">
      <c r="A428" t="s">
        <v>1646</v>
      </c>
      <c r="B428" t="s">
        <v>1647</v>
      </c>
      <c r="C428" t="s">
        <v>1648</v>
      </c>
      <c r="D428">
        <v>45028</v>
      </c>
      <c r="E428" t="s">
        <v>23</v>
      </c>
      <c r="F428">
        <v>6365.77</v>
      </c>
      <c r="G428">
        <v>41504.300000000003</v>
      </c>
      <c r="H428" t="s">
        <v>125</v>
      </c>
      <c r="I428">
        <v>65</v>
      </c>
      <c r="J428" t="s">
        <v>42</v>
      </c>
      <c r="K428" t="s">
        <v>50</v>
      </c>
      <c r="L428" t="s">
        <v>1649</v>
      </c>
      <c r="M428" t="s">
        <v>28</v>
      </c>
      <c r="N428" t="s">
        <v>29</v>
      </c>
      <c r="O428">
        <v>3.39</v>
      </c>
      <c r="P428">
        <v>43757.88</v>
      </c>
      <c r="R428">
        <v>382</v>
      </c>
      <c r="S428">
        <v>5666.55</v>
      </c>
      <c r="T428" t="s">
        <v>45</v>
      </c>
    </row>
    <row r="429" spans="1:20" x14ac:dyDescent="0.35">
      <c r="A429" t="s">
        <v>1650</v>
      </c>
      <c r="B429" t="s">
        <v>1651</v>
      </c>
      <c r="C429" t="s">
        <v>1652</v>
      </c>
      <c r="D429">
        <v>44587</v>
      </c>
      <c r="E429" t="s">
        <v>34</v>
      </c>
      <c r="F429">
        <v>783.39</v>
      </c>
      <c r="G429">
        <v>18914.189999999999</v>
      </c>
      <c r="H429" t="s">
        <v>24</v>
      </c>
      <c r="I429">
        <v>31</v>
      </c>
      <c r="J429" t="s">
        <v>25</v>
      </c>
      <c r="K429" t="s">
        <v>50</v>
      </c>
      <c r="L429" t="s">
        <v>520</v>
      </c>
      <c r="M429" t="s">
        <v>52</v>
      </c>
      <c r="N429" t="s">
        <v>29</v>
      </c>
      <c r="O429">
        <v>2.17</v>
      </c>
      <c r="R429">
        <v>849</v>
      </c>
      <c r="S429">
        <v>9120.59</v>
      </c>
      <c r="T429" t="s">
        <v>63</v>
      </c>
    </row>
    <row r="430" spans="1:20" x14ac:dyDescent="0.35">
      <c r="A430" t="s">
        <v>1653</v>
      </c>
      <c r="B430" t="s">
        <v>1654</v>
      </c>
      <c r="C430" t="s">
        <v>1655</v>
      </c>
      <c r="D430">
        <v>44654</v>
      </c>
      <c r="E430" t="s">
        <v>71</v>
      </c>
      <c r="F430">
        <v>156.09</v>
      </c>
      <c r="G430">
        <v>18331.14</v>
      </c>
      <c r="H430" t="s">
        <v>35</v>
      </c>
      <c r="I430">
        <v>28</v>
      </c>
      <c r="J430" t="s">
        <v>25</v>
      </c>
      <c r="K430" t="s">
        <v>50</v>
      </c>
      <c r="L430" t="s">
        <v>1656</v>
      </c>
      <c r="M430" t="s">
        <v>28</v>
      </c>
      <c r="N430" t="s">
        <v>44</v>
      </c>
      <c r="O430">
        <v>3.74</v>
      </c>
      <c r="P430">
        <v>47356.62</v>
      </c>
      <c r="Q430">
        <v>7</v>
      </c>
      <c r="R430">
        <v>744</v>
      </c>
      <c r="S430">
        <v>3081.83</v>
      </c>
      <c r="T430" t="s">
        <v>45</v>
      </c>
    </row>
    <row r="431" spans="1:20" x14ac:dyDescent="0.35">
      <c r="A431" t="s">
        <v>1657</v>
      </c>
      <c r="B431" t="s">
        <v>1658</v>
      </c>
      <c r="C431" t="s">
        <v>1659</v>
      </c>
      <c r="D431">
        <v>45133</v>
      </c>
      <c r="E431" t="s">
        <v>71</v>
      </c>
      <c r="F431">
        <v>9377.2000000000007</v>
      </c>
      <c r="G431">
        <v>15821.47</v>
      </c>
      <c r="H431" t="s">
        <v>100</v>
      </c>
      <c r="I431">
        <v>59</v>
      </c>
      <c r="J431" t="s">
        <v>25</v>
      </c>
      <c r="K431" t="s">
        <v>36</v>
      </c>
      <c r="L431" t="s">
        <v>1660</v>
      </c>
      <c r="M431" t="s">
        <v>52</v>
      </c>
      <c r="N431" t="s">
        <v>62</v>
      </c>
      <c r="O431">
        <v>4.18</v>
      </c>
      <c r="P431">
        <v>31960.34</v>
      </c>
      <c r="R431">
        <v>386</v>
      </c>
      <c r="S431">
        <v>13898.27</v>
      </c>
      <c r="T431" t="s">
        <v>30</v>
      </c>
    </row>
    <row r="432" spans="1:20" x14ac:dyDescent="0.35">
      <c r="A432" t="s">
        <v>1661</v>
      </c>
      <c r="B432" t="s">
        <v>1662</v>
      </c>
      <c r="C432" t="s">
        <v>1663</v>
      </c>
      <c r="D432">
        <v>44873</v>
      </c>
      <c r="E432" t="s">
        <v>71</v>
      </c>
      <c r="F432">
        <v>8237.07</v>
      </c>
      <c r="G432">
        <v>48793.29</v>
      </c>
      <c r="H432" t="s">
        <v>35</v>
      </c>
      <c r="I432">
        <v>55</v>
      </c>
      <c r="J432" t="s">
        <v>25</v>
      </c>
      <c r="K432" t="s">
        <v>26</v>
      </c>
      <c r="L432" t="s">
        <v>1664</v>
      </c>
      <c r="M432" t="s">
        <v>28</v>
      </c>
      <c r="N432" t="s">
        <v>44</v>
      </c>
      <c r="O432">
        <v>1.45</v>
      </c>
      <c r="P432">
        <v>49645.69</v>
      </c>
      <c r="Q432">
        <v>7</v>
      </c>
      <c r="R432">
        <v>686</v>
      </c>
      <c r="S432">
        <v>7255.42</v>
      </c>
      <c r="T432" t="s">
        <v>63</v>
      </c>
    </row>
    <row r="433" spans="1:20" x14ac:dyDescent="0.35">
      <c r="A433" t="s">
        <v>1665</v>
      </c>
      <c r="B433" t="s">
        <v>1666</v>
      </c>
      <c r="C433" t="s">
        <v>1667</v>
      </c>
      <c r="D433">
        <v>44891</v>
      </c>
      <c r="E433" t="s">
        <v>34</v>
      </c>
      <c r="F433">
        <v>8110.91</v>
      </c>
      <c r="G433">
        <v>9335.66</v>
      </c>
      <c r="H433" t="s">
        <v>49</v>
      </c>
      <c r="I433">
        <v>21</v>
      </c>
      <c r="J433" t="s">
        <v>25</v>
      </c>
      <c r="K433" t="s">
        <v>26</v>
      </c>
      <c r="L433" t="s">
        <v>1668</v>
      </c>
      <c r="M433" t="s">
        <v>52</v>
      </c>
      <c r="N433" t="s">
        <v>44</v>
      </c>
      <c r="O433">
        <v>3.13</v>
      </c>
      <c r="R433">
        <v>697</v>
      </c>
      <c r="S433">
        <v>7117.79</v>
      </c>
      <c r="T433" t="s">
        <v>45</v>
      </c>
    </row>
    <row r="434" spans="1:20" x14ac:dyDescent="0.35">
      <c r="A434" t="s">
        <v>1669</v>
      </c>
      <c r="B434" t="s">
        <v>1670</v>
      </c>
      <c r="C434" t="s">
        <v>1671</v>
      </c>
      <c r="D434">
        <v>44992</v>
      </c>
      <c r="E434" t="s">
        <v>56</v>
      </c>
      <c r="F434">
        <v>8855.7999999999993</v>
      </c>
      <c r="G434">
        <v>45013.67</v>
      </c>
      <c r="H434" t="s">
        <v>125</v>
      </c>
      <c r="I434">
        <v>50</v>
      </c>
      <c r="J434" t="s">
        <v>42</v>
      </c>
      <c r="K434" t="s">
        <v>50</v>
      </c>
      <c r="L434" t="s">
        <v>1672</v>
      </c>
      <c r="M434" t="s">
        <v>52</v>
      </c>
      <c r="N434" t="s">
        <v>62</v>
      </c>
      <c r="O434">
        <v>1.41</v>
      </c>
      <c r="P434">
        <v>10695.3</v>
      </c>
      <c r="R434">
        <v>585</v>
      </c>
      <c r="S434">
        <v>5935.82</v>
      </c>
      <c r="T434" t="s">
        <v>45</v>
      </c>
    </row>
    <row r="435" spans="1:20" x14ac:dyDescent="0.35">
      <c r="A435" t="s">
        <v>1673</v>
      </c>
      <c r="B435" t="s">
        <v>1674</v>
      </c>
      <c r="C435" t="s">
        <v>1675</v>
      </c>
      <c r="D435">
        <v>44619</v>
      </c>
      <c r="E435" t="s">
        <v>34</v>
      </c>
      <c r="F435">
        <v>7030.34</v>
      </c>
      <c r="G435">
        <v>39063.360000000001</v>
      </c>
      <c r="H435" t="s">
        <v>49</v>
      </c>
      <c r="I435">
        <v>24</v>
      </c>
      <c r="J435" t="s">
        <v>42</v>
      </c>
      <c r="K435" t="s">
        <v>50</v>
      </c>
      <c r="L435" t="s">
        <v>1286</v>
      </c>
      <c r="M435" t="s">
        <v>28</v>
      </c>
      <c r="N435" t="s">
        <v>44</v>
      </c>
      <c r="O435">
        <v>4.49</v>
      </c>
      <c r="Q435">
        <v>18</v>
      </c>
      <c r="R435">
        <v>668</v>
      </c>
      <c r="S435">
        <v>7988.63</v>
      </c>
      <c r="T435" t="s">
        <v>63</v>
      </c>
    </row>
    <row r="436" spans="1:20" x14ac:dyDescent="0.35">
      <c r="A436" t="s">
        <v>1676</v>
      </c>
      <c r="B436" t="s">
        <v>1677</v>
      </c>
      <c r="C436" t="s">
        <v>1678</v>
      </c>
      <c r="D436">
        <v>44722</v>
      </c>
      <c r="E436" t="s">
        <v>56</v>
      </c>
      <c r="F436">
        <v>1133.5999999999999</v>
      </c>
      <c r="G436">
        <v>4747.5200000000004</v>
      </c>
      <c r="H436" t="s">
        <v>125</v>
      </c>
      <c r="I436">
        <v>58</v>
      </c>
      <c r="J436" t="s">
        <v>42</v>
      </c>
      <c r="K436" t="s">
        <v>50</v>
      </c>
      <c r="L436" t="s">
        <v>1679</v>
      </c>
      <c r="M436" t="s">
        <v>28</v>
      </c>
      <c r="N436" t="s">
        <v>62</v>
      </c>
      <c r="O436">
        <v>3.03</v>
      </c>
      <c r="R436">
        <v>721</v>
      </c>
      <c r="S436">
        <v>5272.87</v>
      </c>
      <c r="T436" t="s">
        <v>63</v>
      </c>
    </row>
    <row r="437" spans="1:20" x14ac:dyDescent="0.35">
      <c r="A437" t="s">
        <v>1680</v>
      </c>
      <c r="B437" t="s">
        <v>1681</v>
      </c>
      <c r="C437" t="s">
        <v>1682</v>
      </c>
      <c r="D437">
        <v>44829</v>
      </c>
      <c r="E437" t="s">
        <v>34</v>
      </c>
      <c r="F437">
        <v>4051.09</v>
      </c>
      <c r="G437">
        <v>49349.73</v>
      </c>
      <c r="H437" t="s">
        <v>35</v>
      </c>
      <c r="I437">
        <v>25</v>
      </c>
      <c r="J437" t="s">
        <v>42</v>
      </c>
      <c r="K437" t="s">
        <v>36</v>
      </c>
      <c r="L437" t="s">
        <v>1683</v>
      </c>
      <c r="M437" t="s">
        <v>38</v>
      </c>
      <c r="N437" t="s">
        <v>62</v>
      </c>
      <c r="O437">
        <v>4.2300000000000004</v>
      </c>
      <c r="P437">
        <v>25045.64</v>
      </c>
      <c r="Q437">
        <v>18</v>
      </c>
      <c r="R437">
        <v>742</v>
      </c>
      <c r="S437">
        <v>6873.08</v>
      </c>
      <c r="T437" t="s">
        <v>30</v>
      </c>
    </row>
    <row r="438" spans="1:20" x14ac:dyDescent="0.35">
      <c r="A438" t="s">
        <v>1684</v>
      </c>
      <c r="B438" t="s">
        <v>1685</v>
      </c>
      <c r="C438" t="s">
        <v>1686</v>
      </c>
      <c r="D438">
        <v>44626</v>
      </c>
      <c r="E438" t="s">
        <v>34</v>
      </c>
      <c r="F438">
        <v>7259.18</v>
      </c>
      <c r="G438">
        <v>14296.93</v>
      </c>
      <c r="H438" t="s">
        <v>24</v>
      </c>
      <c r="I438">
        <v>54</v>
      </c>
      <c r="J438" t="s">
        <v>25</v>
      </c>
      <c r="K438" t="s">
        <v>36</v>
      </c>
      <c r="L438" t="s">
        <v>844</v>
      </c>
      <c r="M438" t="s">
        <v>38</v>
      </c>
      <c r="N438" t="s">
        <v>44</v>
      </c>
      <c r="O438">
        <v>2.4700000000000002</v>
      </c>
      <c r="P438">
        <v>37133.199999999997</v>
      </c>
      <c r="Q438">
        <v>14</v>
      </c>
      <c r="R438">
        <v>819</v>
      </c>
      <c r="S438">
        <v>12399.31</v>
      </c>
      <c r="T438" t="s">
        <v>63</v>
      </c>
    </row>
    <row r="439" spans="1:20" x14ac:dyDescent="0.35">
      <c r="A439" t="s">
        <v>1687</v>
      </c>
      <c r="B439" t="s">
        <v>1688</v>
      </c>
      <c r="C439" t="s">
        <v>1689</v>
      </c>
      <c r="D439">
        <v>44985</v>
      </c>
      <c r="E439" t="s">
        <v>71</v>
      </c>
      <c r="F439">
        <v>2875.31</v>
      </c>
      <c r="G439">
        <v>5830.56</v>
      </c>
      <c r="H439" t="s">
        <v>24</v>
      </c>
      <c r="I439">
        <v>68</v>
      </c>
      <c r="J439" t="s">
        <v>25</v>
      </c>
      <c r="K439" t="s">
        <v>26</v>
      </c>
      <c r="L439" t="s">
        <v>1690</v>
      </c>
      <c r="M439" t="s">
        <v>38</v>
      </c>
      <c r="N439" t="s">
        <v>44</v>
      </c>
      <c r="O439">
        <v>1.5</v>
      </c>
      <c r="R439">
        <v>587</v>
      </c>
      <c r="S439">
        <v>12845.32</v>
      </c>
      <c r="T439" t="s">
        <v>45</v>
      </c>
    </row>
    <row r="440" spans="1:20" x14ac:dyDescent="0.35">
      <c r="A440" t="s">
        <v>1691</v>
      </c>
      <c r="B440" t="s">
        <v>1692</v>
      </c>
      <c r="C440" t="s">
        <v>1693</v>
      </c>
      <c r="D440">
        <v>44821</v>
      </c>
      <c r="E440" t="s">
        <v>23</v>
      </c>
      <c r="F440">
        <v>6905.32</v>
      </c>
      <c r="G440">
        <v>41636.400000000001</v>
      </c>
      <c r="H440" t="s">
        <v>125</v>
      </c>
      <c r="I440">
        <v>27</v>
      </c>
      <c r="J440" t="s">
        <v>42</v>
      </c>
      <c r="K440" t="s">
        <v>50</v>
      </c>
      <c r="L440" t="s">
        <v>1694</v>
      </c>
      <c r="M440" t="s">
        <v>28</v>
      </c>
      <c r="N440" t="s">
        <v>29</v>
      </c>
      <c r="O440">
        <v>1.17</v>
      </c>
      <c r="R440">
        <v>394</v>
      </c>
      <c r="S440">
        <v>5954.37</v>
      </c>
      <c r="T440" t="s">
        <v>30</v>
      </c>
    </row>
    <row r="441" spans="1:20" x14ac:dyDescent="0.35">
      <c r="A441" t="s">
        <v>1695</v>
      </c>
      <c r="B441" t="s">
        <v>1696</v>
      </c>
      <c r="C441" t="s">
        <v>1697</v>
      </c>
      <c r="D441">
        <v>44686</v>
      </c>
      <c r="E441" t="s">
        <v>23</v>
      </c>
      <c r="F441">
        <v>342.53</v>
      </c>
      <c r="G441">
        <v>35627.1</v>
      </c>
      <c r="H441" t="s">
        <v>24</v>
      </c>
      <c r="I441">
        <v>60</v>
      </c>
      <c r="J441" t="s">
        <v>25</v>
      </c>
      <c r="K441" t="s">
        <v>50</v>
      </c>
      <c r="L441" t="s">
        <v>1381</v>
      </c>
      <c r="M441" t="s">
        <v>28</v>
      </c>
      <c r="N441" t="s">
        <v>44</v>
      </c>
      <c r="O441">
        <v>2.13</v>
      </c>
      <c r="Q441">
        <v>26</v>
      </c>
      <c r="R441">
        <v>340</v>
      </c>
      <c r="S441">
        <v>8097.19</v>
      </c>
      <c r="T441" t="s">
        <v>45</v>
      </c>
    </row>
    <row r="442" spans="1:20" x14ac:dyDescent="0.35">
      <c r="A442" t="s">
        <v>1698</v>
      </c>
      <c r="B442" t="s">
        <v>1699</v>
      </c>
      <c r="C442" t="s">
        <v>1700</v>
      </c>
      <c r="D442">
        <v>44590</v>
      </c>
      <c r="E442" t="s">
        <v>56</v>
      </c>
      <c r="F442">
        <v>3130.76</v>
      </c>
      <c r="G442">
        <v>31243.72</v>
      </c>
      <c r="H442" t="s">
        <v>35</v>
      </c>
      <c r="I442">
        <v>32</v>
      </c>
      <c r="J442" t="s">
        <v>42</v>
      </c>
      <c r="K442" t="s">
        <v>50</v>
      </c>
      <c r="L442" t="s">
        <v>324</v>
      </c>
      <c r="M442" t="s">
        <v>52</v>
      </c>
      <c r="N442" t="s">
        <v>62</v>
      </c>
      <c r="O442">
        <v>1.98</v>
      </c>
      <c r="Q442">
        <v>7</v>
      </c>
      <c r="R442">
        <v>630</v>
      </c>
      <c r="S442">
        <v>13359.66</v>
      </c>
      <c r="T442" t="s">
        <v>45</v>
      </c>
    </row>
    <row r="443" spans="1:20" x14ac:dyDescent="0.35">
      <c r="A443" t="s">
        <v>1701</v>
      </c>
      <c r="B443" t="s">
        <v>1702</v>
      </c>
      <c r="C443" t="s">
        <v>1703</v>
      </c>
      <c r="D443">
        <v>45126</v>
      </c>
      <c r="E443" t="s">
        <v>23</v>
      </c>
      <c r="F443">
        <v>5536.39</v>
      </c>
      <c r="G443">
        <v>8643.06</v>
      </c>
      <c r="H443" t="s">
        <v>24</v>
      </c>
      <c r="I443">
        <v>55</v>
      </c>
      <c r="J443" t="s">
        <v>25</v>
      </c>
      <c r="K443" t="s">
        <v>50</v>
      </c>
      <c r="L443" t="s">
        <v>1704</v>
      </c>
      <c r="M443" t="s">
        <v>38</v>
      </c>
      <c r="N443" t="s">
        <v>29</v>
      </c>
      <c r="O443">
        <v>3.24</v>
      </c>
      <c r="R443">
        <v>454</v>
      </c>
      <c r="S443">
        <v>2684.75</v>
      </c>
      <c r="T443" t="s">
        <v>45</v>
      </c>
    </row>
    <row r="444" spans="1:20" x14ac:dyDescent="0.35">
      <c r="A444" t="s">
        <v>1705</v>
      </c>
      <c r="B444" t="s">
        <v>1706</v>
      </c>
      <c r="C444" t="s">
        <v>1707</v>
      </c>
      <c r="D444">
        <v>44671</v>
      </c>
      <c r="E444" t="s">
        <v>34</v>
      </c>
      <c r="F444">
        <v>6357.69</v>
      </c>
      <c r="G444">
        <v>24446.31</v>
      </c>
      <c r="H444" t="s">
        <v>35</v>
      </c>
      <c r="I444">
        <v>32</v>
      </c>
      <c r="J444" t="s">
        <v>25</v>
      </c>
      <c r="K444" t="s">
        <v>36</v>
      </c>
      <c r="L444" t="s">
        <v>1708</v>
      </c>
      <c r="M444" t="s">
        <v>52</v>
      </c>
      <c r="N444" t="s">
        <v>62</v>
      </c>
      <c r="O444">
        <v>1.0900000000000001</v>
      </c>
      <c r="R444">
        <v>803</v>
      </c>
      <c r="S444">
        <v>13558.88</v>
      </c>
      <c r="T444" t="s">
        <v>63</v>
      </c>
    </row>
    <row r="445" spans="1:20" x14ac:dyDescent="0.35">
      <c r="A445" t="s">
        <v>1709</v>
      </c>
      <c r="B445" t="s">
        <v>1710</v>
      </c>
      <c r="C445" t="s">
        <v>1711</v>
      </c>
      <c r="D445">
        <v>45090</v>
      </c>
      <c r="E445" t="s">
        <v>34</v>
      </c>
      <c r="F445">
        <v>5812.7</v>
      </c>
      <c r="G445">
        <v>39247.25</v>
      </c>
      <c r="H445" t="s">
        <v>49</v>
      </c>
      <c r="I445">
        <v>22</v>
      </c>
      <c r="J445" t="s">
        <v>25</v>
      </c>
      <c r="K445" t="s">
        <v>26</v>
      </c>
      <c r="L445" t="s">
        <v>1712</v>
      </c>
      <c r="M445" t="s">
        <v>52</v>
      </c>
      <c r="N445" t="s">
        <v>29</v>
      </c>
      <c r="O445">
        <v>3.08</v>
      </c>
      <c r="P445">
        <v>40806.800000000003</v>
      </c>
      <c r="R445">
        <v>574</v>
      </c>
      <c r="S445">
        <v>4849.3999999999996</v>
      </c>
      <c r="T445" t="s">
        <v>63</v>
      </c>
    </row>
    <row r="446" spans="1:20" x14ac:dyDescent="0.35">
      <c r="A446" t="s">
        <v>1713</v>
      </c>
      <c r="B446" t="s">
        <v>1714</v>
      </c>
      <c r="C446" t="s">
        <v>1715</v>
      </c>
      <c r="D446">
        <v>44893</v>
      </c>
      <c r="E446" t="s">
        <v>71</v>
      </c>
      <c r="F446">
        <v>7007.79</v>
      </c>
      <c r="G446">
        <v>15877.57</v>
      </c>
      <c r="H446" t="s">
        <v>35</v>
      </c>
      <c r="I446">
        <v>46</v>
      </c>
      <c r="J446" t="s">
        <v>42</v>
      </c>
      <c r="K446" t="s">
        <v>26</v>
      </c>
      <c r="L446" t="s">
        <v>1716</v>
      </c>
      <c r="M446" t="s">
        <v>52</v>
      </c>
      <c r="N446" t="s">
        <v>44</v>
      </c>
      <c r="O446">
        <v>2.57</v>
      </c>
      <c r="Q446">
        <v>14</v>
      </c>
      <c r="R446">
        <v>478</v>
      </c>
      <c r="S446">
        <v>10821.01</v>
      </c>
      <c r="T446" t="s">
        <v>45</v>
      </c>
    </row>
    <row r="447" spans="1:20" x14ac:dyDescent="0.35">
      <c r="A447" t="s">
        <v>1717</v>
      </c>
      <c r="B447" t="s">
        <v>1718</v>
      </c>
      <c r="C447" t="s">
        <v>1719</v>
      </c>
      <c r="D447">
        <v>44710</v>
      </c>
      <c r="E447" t="s">
        <v>71</v>
      </c>
      <c r="F447">
        <v>160.28</v>
      </c>
      <c r="G447">
        <v>16272.8</v>
      </c>
      <c r="H447" t="s">
        <v>100</v>
      </c>
      <c r="I447">
        <v>36</v>
      </c>
      <c r="J447" t="s">
        <v>42</v>
      </c>
      <c r="K447" t="s">
        <v>36</v>
      </c>
      <c r="L447" t="s">
        <v>150</v>
      </c>
      <c r="M447" t="s">
        <v>52</v>
      </c>
      <c r="N447" t="s">
        <v>44</v>
      </c>
      <c r="O447">
        <v>3.31</v>
      </c>
      <c r="R447">
        <v>436</v>
      </c>
      <c r="S447">
        <v>9573.17</v>
      </c>
      <c r="T447" t="s">
        <v>63</v>
      </c>
    </row>
    <row r="448" spans="1:20" x14ac:dyDescent="0.35">
      <c r="A448" t="s">
        <v>1720</v>
      </c>
      <c r="B448" t="s">
        <v>1721</v>
      </c>
      <c r="C448" t="s">
        <v>1722</v>
      </c>
      <c r="D448">
        <v>45106</v>
      </c>
      <c r="E448" t="s">
        <v>23</v>
      </c>
      <c r="F448">
        <v>1099.32</v>
      </c>
      <c r="G448">
        <v>1153.9000000000001</v>
      </c>
      <c r="H448" t="s">
        <v>100</v>
      </c>
      <c r="I448">
        <v>68</v>
      </c>
      <c r="J448" t="s">
        <v>42</v>
      </c>
      <c r="K448" t="s">
        <v>50</v>
      </c>
      <c r="L448" t="s">
        <v>1723</v>
      </c>
      <c r="M448" t="s">
        <v>38</v>
      </c>
      <c r="N448" t="s">
        <v>44</v>
      </c>
      <c r="O448">
        <v>3.81</v>
      </c>
      <c r="P448">
        <v>48180.77</v>
      </c>
      <c r="Q448">
        <v>13</v>
      </c>
      <c r="R448">
        <v>479</v>
      </c>
      <c r="S448">
        <v>9188.23</v>
      </c>
      <c r="T448" t="s">
        <v>45</v>
      </c>
    </row>
    <row r="449" spans="1:20" x14ac:dyDescent="0.35">
      <c r="A449" t="s">
        <v>1724</v>
      </c>
      <c r="B449" t="s">
        <v>1725</v>
      </c>
      <c r="C449" t="s">
        <v>1726</v>
      </c>
      <c r="D449">
        <v>44790</v>
      </c>
      <c r="E449" t="s">
        <v>56</v>
      </c>
      <c r="F449">
        <v>8702.5499999999993</v>
      </c>
      <c r="G449">
        <v>9537.93</v>
      </c>
      <c r="H449" t="s">
        <v>100</v>
      </c>
      <c r="I449">
        <v>27</v>
      </c>
      <c r="J449" t="s">
        <v>42</v>
      </c>
      <c r="K449" t="s">
        <v>26</v>
      </c>
      <c r="L449" t="s">
        <v>1727</v>
      </c>
      <c r="M449" t="s">
        <v>52</v>
      </c>
      <c r="N449" t="s">
        <v>62</v>
      </c>
      <c r="O449">
        <v>3.54</v>
      </c>
      <c r="P449">
        <v>31645.55</v>
      </c>
      <c r="R449">
        <v>481</v>
      </c>
      <c r="S449">
        <v>13171.68</v>
      </c>
      <c r="T449" t="s">
        <v>63</v>
      </c>
    </row>
    <row r="450" spans="1:20" x14ac:dyDescent="0.35">
      <c r="A450" t="s">
        <v>1728</v>
      </c>
      <c r="B450" t="s">
        <v>1729</v>
      </c>
      <c r="C450" t="s">
        <v>1730</v>
      </c>
      <c r="D450">
        <v>44811</v>
      </c>
      <c r="E450" t="s">
        <v>23</v>
      </c>
      <c r="F450">
        <v>6849.31</v>
      </c>
      <c r="G450">
        <v>43894.879999999997</v>
      </c>
      <c r="H450" t="s">
        <v>125</v>
      </c>
      <c r="I450">
        <v>29</v>
      </c>
      <c r="J450" t="s">
        <v>25</v>
      </c>
      <c r="K450" t="s">
        <v>26</v>
      </c>
      <c r="L450" t="s">
        <v>1731</v>
      </c>
      <c r="M450" t="s">
        <v>28</v>
      </c>
      <c r="N450" t="s">
        <v>29</v>
      </c>
      <c r="O450">
        <v>4.9400000000000004</v>
      </c>
      <c r="P450">
        <v>41878.31</v>
      </c>
      <c r="Q450">
        <v>8</v>
      </c>
      <c r="R450">
        <v>558</v>
      </c>
      <c r="S450">
        <v>3320.44</v>
      </c>
      <c r="T450" t="s">
        <v>63</v>
      </c>
    </row>
    <row r="451" spans="1:20" x14ac:dyDescent="0.35">
      <c r="A451" t="s">
        <v>1732</v>
      </c>
      <c r="B451" t="s">
        <v>1733</v>
      </c>
      <c r="C451" t="s">
        <v>1734</v>
      </c>
      <c r="D451">
        <v>44734</v>
      </c>
      <c r="E451" t="s">
        <v>23</v>
      </c>
      <c r="F451">
        <v>1218.02</v>
      </c>
      <c r="G451">
        <v>22645.58</v>
      </c>
      <c r="H451" t="s">
        <v>125</v>
      </c>
      <c r="I451">
        <v>21</v>
      </c>
      <c r="J451" t="s">
        <v>25</v>
      </c>
      <c r="K451" t="s">
        <v>36</v>
      </c>
      <c r="L451" t="s">
        <v>43</v>
      </c>
      <c r="M451" t="s">
        <v>28</v>
      </c>
      <c r="N451" t="s">
        <v>62</v>
      </c>
      <c r="O451">
        <v>1.55</v>
      </c>
      <c r="Q451">
        <v>8</v>
      </c>
      <c r="R451">
        <v>542</v>
      </c>
      <c r="S451">
        <v>6511.36</v>
      </c>
      <c r="T451" t="s">
        <v>63</v>
      </c>
    </row>
    <row r="452" spans="1:20" x14ac:dyDescent="0.35">
      <c r="A452" t="s">
        <v>1735</v>
      </c>
      <c r="B452" t="s">
        <v>1736</v>
      </c>
      <c r="C452" t="s">
        <v>1737</v>
      </c>
      <c r="D452">
        <v>44815</v>
      </c>
      <c r="E452" t="s">
        <v>23</v>
      </c>
      <c r="F452">
        <v>8436.5400000000009</v>
      </c>
      <c r="G452">
        <v>49227.49</v>
      </c>
      <c r="H452" t="s">
        <v>125</v>
      </c>
      <c r="I452">
        <v>48</v>
      </c>
      <c r="J452" t="s">
        <v>25</v>
      </c>
      <c r="K452" t="s">
        <v>50</v>
      </c>
      <c r="L452" t="s">
        <v>1738</v>
      </c>
      <c r="M452" t="s">
        <v>28</v>
      </c>
      <c r="N452" t="s">
        <v>29</v>
      </c>
      <c r="O452">
        <v>2.72</v>
      </c>
      <c r="P452">
        <v>7988.47</v>
      </c>
      <c r="R452">
        <v>395</v>
      </c>
      <c r="S452">
        <v>8997.2900000000009</v>
      </c>
      <c r="T452" t="s">
        <v>30</v>
      </c>
    </row>
    <row r="453" spans="1:20" x14ac:dyDescent="0.35">
      <c r="A453" t="s">
        <v>1739</v>
      </c>
      <c r="B453" t="s">
        <v>1740</v>
      </c>
      <c r="C453" t="s">
        <v>1741</v>
      </c>
      <c r="D453">
        <v>44904</v>
      </c>
      <c r="E453" t="s">
        <v>23</v>
      </c>
      <c r="F453">
        <v>2498.09</v>
      </c>
      <c r="G453">
        <v>20389.689999999999</v>
      </c>
      <c r="H453" t="s">
        <v>35</v>
      </c>
      <c r="I453">
        <v>35</v>
      </c>
      <c r="J453" t="s">
        <v>25</v>
      </c>
      <c r="K453" t="s">
        <v>26</v>
      </c>
      <c r="L453" t="s">
        <v>1742</v>
      </c>
      <c r="M453" t="s">
        <v>38</v>
      </c>
      <c r="N453" t="s">
        <v>44</v>
      </c>
      <c r="O453">
        <v>2.7</v>
      </c>
      <c r="P453">
        <v>12688.71</v>
      </c>
      <c r="Q453">
        <v>17</v>
      </c>
      <c r="R453">
        <v>496</v>
      </c>
      <c r="S453">
        <v>12546.76</v>
      </c>
      <c r="T453" t="s">
        <v>63</v>
      </c>
    </row>
    <row r="454" spans="1:20" x14ac:dyDescent="0.35">
      <c r="A454" t="s">
        <v>1743</v>
      </c>
      <c r="B454" t="s">
        <v>1744</v>
      </c>
      <c r="C454" t="s">
        <v>1745</v>
      </c>
      <c r="D454">
        <v>44780</v>
      </c>
      <c r="E454" t="s">
        <v>34</v>
      </c>
      <c r="F454">
        <v>4834.7700000000004</v>
      </c>
      <c r="G454">
        <v>36044.14</v>
      </c>
      <c r="H454" t="s">
        <v>125</v>
      </c>
      <c r="I454">
        <v>33</v>
      </c>
      <c r="J454" t="s">
        <v>42</v>
      </c>
      <c r="K454" t="s">
        <v>50</v>
      </c>
      <c r="L454" t="s">
        <v>1746</v>
      </c>
      <c r="M454" t="s">
        <v>52</v>
      </c>
      <c r="N454" t="s">
        <v>62</v>
      </c>
      <c r="O454">
        <v>2.67</v>
      </c>
      <c r="Q454">
        <v>6</v>
      </c>
      <c r="R454">
        <v>825</v>
      </c>
      <c r="S454">
        <v>4813.76</v>
      </c>
      <c r="T454" t="s">
        <v>30</v>
      </c>
    </row>
    <row r="455" spans="1:20" x14ac:dyDescent="0.35">
      <c r="A455" t="s">
        <v>1747</v>
      </c>
      <c r="B455" t="s">
        <v>1748</v>
      </c>
      <c r="C455" t="s">
        <v>1749</v>
      </c>
      <c r="D455">
        <v>44794</v>
      </c>
      <c r="E455" t="s">
        <v>56</v>
      </c>
      <c r="F455">
        <v>1537.45</v>
      </c>
      <c r="G455">
        <v>14814.03</v>
      </c>
      <c r="H455" t="s">
        <v>49</v>
      </c>
      <c r="I455">
        <v>57</v>
      </c>
      <c r="J455" t="s">
        <v>25</v>
      </c>
      <c r="K455" t="s">
        <v>26</v>
      </c>
      <c r="L455" t="s">
        <v>226</v>
      </c>
      <c r="M455" t="s">
        <v>38</v>
      </c>
      <c r="N455" t="s">
        <v>44</v>
      </c>
      <c r="O455">
        <v>3.66</v>
      </c>
      <c r="Q455">
        <v>15</v>
      </c>
      <c r="R455">
        <v>686</v>
      </c>
      <c r="S455">
        <v>12438.09</v>
      </c>
      <c r="T455" t="s">
        <v>30</v>
      </c>
    </row>
    <row r="456" spans="1:20" x14ac:dyDescent="0.35">
      <c r="A456" t="s">
        <v>1750</v>
      </c>
      <c r="B456" t="s">
        <v>1751</v>
      </c>
      <c r="C456" t="s">
        <v>1752</v>
      </c>
      <c r="D456">
        <v>44934</v>
      </c>
      <c r="E456" t="s">
        <v>34</v>
      </c>
      <c r="F456">
        <v>7130.09</v>
      </c>
      <c r="G456">
        <v>18826.669999999998</v>
      </c>
      <c r="H456" t="s">
        <v>100</v>
      </c>
      <c r="I456">
        <v>53</v>
      </c>
      <c r="J456" t="s">
        <v>25</v>
      </c>
      <c r="K456" t="s">
        <v>36</v>
      </c>
      <c r="L456" t="s">
        <v>1753</v>
      </c>
      <c r="M456" t="s">
        <v>52</v>
      </c>
      <c r="N456" t="s">
        <v>62</v>
      </c>
      <c r="O456">
        <v>2.96</v>
      </c>
      <c r="Q456">
        <v>15</v>
      </c>
      <c r="R456">
        <v>707</v>
      </c>
      <c r="S456">
        <v>7195.3</v>
      </c>
      <c r="T456" t="s">
        <v>30</v>
      </c>
    </row>
    <row r="457" spans="1:20" x14ac:dyDescent="0.35">
      <c r="A457" t="s">
        <v>1754</v>
      </c>
      <c r="B457" t="s">
        <v>1755</v>
      </c>
      <c r="C457" t="s">
        <v>1756</v>
      </c>
      <c r="D457">
        <v>45054</v>
      </c>
      <c r="E457" t="s">
        <v>56</v>
      </c>
      <c r="F457">
        <v>6701.86</v>
      </c>
      <c r="G457">
        <v>10345.57</v>
      </c>
      <c r="H457" t="s">
        <v>35</v>
      </c>
      <c r="I457">
        <v>42</v>
      </c>
      <c r="J457" t="s">
        <v>25</v>
      </c>
      <c r="K457" t="s">
        <v>50</v>
      </c>
      <c r="L457" t="s">
        <v>906</v>
      </c>
      <c r="M457" t="s">
        <v>38</v>
      </c>
      <c r="N457" t="s">
        <v>44</v>
      </c>
      <c r="O457">
        <v>3.07</v>
      </c>
      <c r="Q457">
        <v>25</v>
      </c>
      <c r="R457">
        <v>568</v>
      </c>
      <c r="S457">
        <v>4455.88</v>
      </c>
      <c r="T457" t="s">
        <v>45</v>
      </c>
    </row>
    <row r="458" spans="1:20" x14ac:dyDescent="0.35">
      <c r="A458" t="s">
        <v>1757</v>
      </c>
      <c r="B458" t="s">
        <v>1758</v>
      </c>
      <c r="C458" t="s">
        <v>1759</v>
      </c>
      <c r="D458">
        <v>44883</v>
      </c>
      <c r="E458" t="s">
        <v>71</v>
      </c>
      <c r="F458">
        <v>2190.0100000000002</v>
      </c>
      <c r="G458">
        <v>18006.060000000001</v>
      </c>
      <c r="H458" t="s">
        <v>100</v>
      </c>
      <c r="I458">
        <v>40</v>
      </c>
      <c r="J458" t="s">
        <v>42</v>
      </c>
      <c r="K458" t="s">
        <v>36</v>
      </c>
      <c r="L458" t="s">
        <v>562</v>
      </c>
      <c r="M458" t="s">
        <v>38</v>
      </c>
      <c r="N458" t="s">
        <v>62</v>
      </c>
      <c r="O458">
        <v>2.73</v>
      </c>
      <c r="P458">
        <v>27256.54</v>
      </c>
      <c r="R458">
        <v>470</v>
      </c>
      <c r="S458">
        <v>11866.82</v>
      </c>
      <c r="T458" t="s">
        <v>63</v>
      </c>
    </row>
    <row r="459" spans="1:20" x14ac:dyDescent="0.35">
      <c r="A459" t="s">
        <v>1760</v>
      </c>
      <c r="B459" t="s">
        <v>1761</v>
      </c>
      <c r="C459" t="s">
        <v>1762</v>
      </c>
      <c r="D459">
        <v>44704</v>
      </c>
      <c r="E459" t="s">
        <v>23</v>
      </c>
      <c r="F459">
        <v>8647.67</v>
      </c>
      <c r="G459">
        <v>27814.639999999999</v>
      </c>
      <c r="H459" t="s">
        <v>125</v>
      </c>
      <c r="I459">
        <v>29</v>
      </c>
      <c r="J459" t="s">
        <v>42</v>
      </c>
      <c r="K459" t="s">
        <v>26</v>
      </c>
      <c r="L459" t="s">
        <v>1763</v>
      </c>
      <c r="M459" t="s">
        <v>52</v>
      </c>
      <c r="N459" t="s">
        <v>62</v>
      </c>
      <c r="O459">
        <v>4.97</v>
      </c>
      <c r="R459">
        <v>469</v>
      </c>
      <c r="S459">
        <v>3181.69</v>
      </c>
      <c r="T459" t="s">
        <v>45</v>
      </c>
    </row>
    <row r="460" spans="1:20" x14ac:dyDescent="0.35">
      <c r="A460" t="s">
        <v>1764</v>
      </c>
      <c r="B460" t="s">
        <v>1765</v>
      </c>
      <c r="C460" t="s">
        <v>1766</v>
      </c>
      <c r="D460">
        <v>44992</v>
      </c>
      <c r="E460" t="s">
        <v>34</v>
      </c>
      <c r="F460">
        <v>4072.93</v>
      </c>
      <c r="G460">
        <v>49596.87</v>
      </c>
      <c r="H460" t="s">
        <v>35</v>
      </c>
      <c r="I460">
        <v>51</v>
      </c>
      <c r="J460" t="s">
        <v>42</v>
      </c>
      <c r="K460" t="s">
        <v>36</v>
      </c>
      <c r="L460" t="s">
        <v>1767</v>
      </c>
      <c r="M460" t="s">
        <v>38</v>
      </c>
      <c r="N460" t="s">
        <v>29</v>
      </c>
      <c r="O460">
        <v>4.71</v>
      </c>
      <c r="P460">
        <v>22189.26</v>
      </c>
      <c r="Q460">
        <v>19</v>
      </c>
      <c r="R460">
        <v>458</v>
      </c>
      <c r="S460">
        <v>8691.98</v>
      </c>
      <c r="T460" t="s">
        <v>30</v>
      </c>
    </row>
    <row r="461" spans="1:20" x14ac:dyDescent="0.35">
      <c r="A461" t="s">
        <v>1768</v>
      </c>
      <c r="B461" t="s">
        <v>1769</v>
      </c>
      <c r="C461" t="s">
        <v>1770</v>
      </c>
      <c r="D461">
        <v>44758</v>
      </c>
      <c r="E461" t="s">
        <v>56</v>
      </c>
      <c r="F461">
        <v>2995.9</v>
      </c>
      <c r="G461">
        <v>33545.879999999997</v>
      </c>
      <c r="H461" t="s">
        <v>24</v>
      </c>
      <c r="I461">
        <v>53</v>
      </c>
      <c r="J461" t="s">
        <v>25</v>
      </c>
      <c r="K461" t="s">
        <v>36</v>
      </c>
      <c r="L461" t="s">
        <v>1771</v>
      </c>
      <c r="M461" t="s">
        <v>52</v>
      </c>
      <c r="N461" t="s">
        <v>44</v>
      </c>
      <c r="O461">
        <v>2.23</v>
      </c>
      <c r="R461">
        <v>808</v>
      </c>
      <c r="S461">
        <v>2830.39</v>
      </c>
      <c r="T461" t="s">
        <v>63</v>
      </c>
    </row>
    <row r="462" spans="1:20" x14ac:dyDescent="0.35">
      <c r="A462" t="s">
        <v>1772</v>
      </c>
      <c r="B462" t="s">
        <v>1773</v>
      </c>
      <c r="C462" t="s">
        <v>1774</v>
      </c>
      <c r="D462">
        <v>44772</v>
      </c>
      <c r="E462" t="s">
        <v>71</v>
      </c>
      <c r="F462">
        <v>1608.06</v>
      </c>
      <c r="G462">
        <v>10763.05</v>
      </c>
      <c r="H462" t="s">
        <v>49</v>
      </c>
      <c r="I462">
        <v>54</v>
      </c>
      <c r="J462" t="s">
        <v>42</v>
      </c>
      <c r="K462" t="s">
        <v>36</v>
      </c>
      <c r="L462" t="s">
        <v>1775</v>
      </c>
      <c r="M462" t="s">
        <v>28</v>
      </c>
      <c r="N462" t="s">
        <v>29</v>
      </c>
      <c r="O462">
        <v>1.45</v>
      </c>
      <c r="P462">
        <v>26059.34</v>
      </c>
      <c r="Q462">
        <v>15</v>
      </c>
      <c r="R462">
        <v>746</v>
      </c>
      <c r="S462">
        <v>6633.43</v>
      </c>
      <c r="T462" t="s">
        <v>45</v>
      </c>
    </row>
    <row r="463" spans="1:20" x14ac:dyDescent="0.35">
      <c r="A463" t="s">
        <v>1776</v>
      </c>
      <c r="B463" t="s">
        <v>1696</v>
      </c>
      <c r="C463" t="s">
        <v>1777</v>
      </c>
      <c r="D463">
        <v>44703</v>
      </c>
      <c r="E463" t="s">
        <v>71</v>
      </c>
      <c r="F463">
        <v>2735.06</v>
      </c>
      <c r="G463">
        <v>3203.11</v>
      </c>
      <c r="H463" t="s">
        <v>125</v>
      </c>
      <c r="I463">
        <v>20</v>
      </c>
      <c r="J463" t="s">
        <v>25</v>
      </c>
      <c r="K463" t="s">
        <v>26</v>
      </c>
      <c r="L463" t="s">
        <v>1778</v>
      </c>
      <c r="M463" t="s">
        <v>28</v>
      </c>
      <c r="N463" t="s">
        <v>29</v>
      </c>
      <c r="O463">
        <v>4.3600000000000003</v>
      </c>
      <c r="Q463">
        <v>3</v>
      </c>
      <c r="R463">
        <v>381</v>
      </c>
      <c r="S463">
        <v>9814</v>
      </c>
      <c r="T463" t="s">
        <v>30</v>
      </c>
    </row>
    <row r="464" spans="1:20" x14ac:dyDescent="0.35">
      <c r="A464" t="s">
        <v>1779</v>
      </c>
      <c r="B464" t="s">
        <v>1780</v>
      </c>
      <c r="C464" t="s">
        <v>1781</v>
      </c>
      <c r="D464">
        <v>44840</v>
      </c>
      <c r="E464" t="s">
        <v>23</v>
      </c>
      <c r="F464">
        <v>318.07</v>
      </c>
      <c r="G464">
        <v>7191.47</v>
      </c>
      <c r="H464" t="s">
        <v>125</v>
      </c>
      <c r="I464">
        <v>26</v>
      </c>
      <c r="J464" t="s">
        <v>25</v>
      </c>
      <c r="K464" t="s">
        <v>50</v>
      </c>
      <c r="L464" t="s">
        <v>1782</v>
      </c>
      <c r="M464" t="s">
        <v>28</v>
      </c>
      <c r="N464" t="s">
        <v>44</v>
      </c>
      <c r="O464">
        <v>4.99</v>
      </c>
      <c r="R464">
        <v>356</v>
      </c>
      <c r="S464">
        <v>9229.5</v>
      </c>
      <c r="T464" t="s">
        <v>45</v>
      </c>
    </row>
    <row r="465" spans="1:20" x14ac:dyDescent="0.35">
      <c r="A465" t="s">
        <v>1783</v>
      </c>
      <c r="B465" t="s">
        <v>1784</v>
      </c>
      <c r="C465" t="s">
        <v>1785</v>
      </c>
      <c r="D465">
        <v>44812</v>
      </c>
      <c r="E465" t="s">
        <v>56</v>
      </c>
      <c r="F465">
        <v>5874.25</v>
      </c>
      <c r="G465">
        <v>28565.200000000001</v>
      </c>
      <c r="H465" t="s">
        <v>49</v>
      </c>
      <c r="I465">
        <v>35</v>
      </c>
      <c r="J465" t="s">
        <v>25</v>
      </c>
      <c r="K465" t="s">
        <v>36</v>
      </c>
      <c r="L465" t="s">
        <v>1615</v>
      </c>
      <c r="M465" t="s">
        <v>38</v>
      </c>
      <c r="N465" t="s">
        <v>62</v>
      </c>
      <c r="O465">
        <v>2.17</v>
      </c>
      <c r="Q465">
        <v>25</v>
      </c>
      <c r="R465">
        <v>818</v>
      </c>
      <c r="S465">
        <v>7260.52</v>
      </c>
      <c r="T465" t="s">
        <v>45</v>
      </c>
    </row>
    <row r="466" spans="1:20" x14ac:dyDescent="0.35">
      <c r="A466" t="s">
        <v>1786</v>
      </c>
      <c r="B466" t="s">
        <v>680</v>
      </c>
      <c r="C466" t="s">
        <v>1787</v>
      </c>
      <c r="D466">
        <v>44702</v>
      </c>
      <c r="E466" t="s">
        <v>34</v>
      </c>
      <c r="F466">
        <v>8438.08</v>
      </c>
      <c r="G466">
        <v>38492.86</v>
      </c>
      <c r="H466" t="s">
        <v>49</v>
      </c>
      <c r="I466">
        <v>60</v>
      </c>
      <c r="J466" t="s">
        <v>42</v>
      </c>
      <c r="K466" t="s">
        <v>50</v>
      </c>
      <c r="L466" t="s">
        <v>1788</v>
      </c>
      <c r="M466" t="s">
        <v>28</v>
      </c>
      <c r="N466" t="s">
        <v>29</v>
      </c>
      <c r="O466">
        <v>2.4300000000000002</v>
      </c>
      <c r="P466">
        <v>22018.76</v>
      </c>
      <c r="Q466">
        <v>8</v>
      </c>
      <c r="R466">
        <v>411</v>
      </c>
      <c r="S466">
        <v>7577.62</v>
      </c>
      <c r="T466" t="s">
        <v>63</v>
      </c>
    </row>
    <row r="467" spans="1:20" x14ac:dyDescent="0.35">
      <c r="A467" t="s">
        <v>1789</v>
      </c>
      <c r="B467" t="s">
        <v>1790</v>
      </c>
      <c r="C467" t="s">
        <v>1791</v>
      </c>
      <c r="D467">
        <v>44615</v>
      </c>
      <c r="E467" t="s">
        <v>23</v>
      </c>
      <c r="F467">
        <v>5534.91</v>
      </c>
      <c r="G467">
        <v>47080.54</v>
      </c>
      <c r="H467" t="s">
        <v>24</v>
      </c>
      <c r="I467">
        <v>52</v>
      </c>
      <c r="J467" t="s">
        <v>42</v>
      </c>
      <c r="K467" t="s">
        <v>26</v>
      </c>
      <c r="L467" t="s">
        <v>1792</v>
      </c>
      <c r="M467" t="s">
        <v>52</v>
      </c>
      <c r="N467" t="s">
        <v>44</v>
      </c>
      <c r="O467">
        <v>4.7699999999999996</v>
      </c>
      <c r="P467">
        <v>36951.32</v>
      </c>
      <c r="Q467">
        <v>16</v>
      </c>
      <c r="R467">
        <v>347</v>
      </c>
      <c r="S467">
        <v>4948</v>
      </c>
      <c r="T467" t="s">
        <v>63</v>
      </c>
    </row>
    <row r="468" spans="1:20" x14ac:dyDescent="0.35">
      <c r="A468" t="s">
        <v>1793</v>
      </c>
      <c r="B468" t="s">
        <v>1794</v>
      </c>
      <c r="C468" t="s">
        <v>1795</v>
      </c>
      <c r="D468">
        <v>44580</v>
      </c>
      <c r="E468" t="s">
        <v>34</v>
      </c>
      <c r="F468">
        <v>2270.81</v>
      </c>
      <c r="G468">
        <v>1775.34</v>
      </c>
      <c r="H468" t="s">
        <v>125</v>
      </c>
      <c r="I468">
        <v>51</v>
      </c>
      <c r="J468" t="s">
        <v>25</v>
      </c>
      <c r="K468" t="s">
        <v>50</v>
      </c>
      <c r="L468" t="s">
        <v>1796</v>
      </c>
      <c r="M468" t="s">
        <v>28</v>
      </c>
      <c r="N468" t="s">
        <v>62</v>
      </c>
      <c r="O468">
        <v>3.84</v>
      </c>
      <c r="P468">
        <v>5901.06</v>
      </c>
      <c r="R468">
        <v>675</v>
      </c>
      <c r="S468">
        <v>7926.47</v>
      </c>
      <c r="T468" t="s">
        <v>45</v>
      </c>
    </row>
    <row r="469" spans="1:20" x14ac:dyDescent="0.35">
      <c r="A469" t="s">
        <v>1797</v>
      </c>
      <c r="B469" t="s">
        <v>900</v>
      </c>
      <c r="C469" t="s">
        <v>1798</v>
      </c>
      <c r="D469">
        <v>44975</v>
      </c>
      <c r="E469" t="s">
        <v>71</v>
      </c>
      <c r="F469">
        <v>433.32</v>
      </c>
      <c r="G469">
        <v>26615.25</v>
      </c>
      <c r="H469" t="s">
        <v>125</v>
      </c>
      <c r="I469">
        <v>58</v>
      </c>
      <c r="J469" t="s">
        <v>25</v>
      </c>
      <c r="K469" t="s">
        <v>36</v>
      </c>
      <c r="L469" t="s">
        <v>1799</v>
      </c>
      <c r="M469" t="s">
        <v>28</v>
      </c>
      <c r="N469" t="s">
        <v>29</v>
      </c>
      <c r="O469">
        <v>2.1800000000000002</v>
      </c>
      <c r="R469">
        <v>332</v>
      </c>
      <c r="S469">
        <v>14392.31</v>
      </c>
      <c r="T469" t="s">
        <v>63</v>
      </c>
    </row>
    <row r="470" spans="1:20" x14ac:dyDescent="0.35">
      <c r="A470" t="s">
        <v>1800</v>
      </c>
      <c r="B470" t="s">
        <v>1801</v>
      </c>
      <c r="C470" t="s">
        <v>1802</v>
      </c>
      <c r="D470">
        <v>44943</v>
      </c>
      <c r="E470" t="s">
        <v>34</v>
      </c>
      <c r="F470">
        <v>2224.8200000000002</v>
      </c>
      <c r="G470">
        <v>24072.5</v>
      </c>
      <c r="H470" t="s">
        <v>100</v>
      </c>
      <c r="I470">
        <v>31</v>
      </c>
      <c r="J470" t="s">
        <v>42</v>
      </c>
      <c r="K470" t="s">
        <v>36</v>
      </c>
      <c r="L470" t="s">
        <v>1803</v>
      </c>
      <c r="M470" t="s">
        <v>38</v>
      </c>
      <c r="N470" t="s">
        <v>29</v>
      </c>
      <c r="O470">
        <v>3.32</v>
      </c>
      <c r="P470">
        <v>20053.439999999999</v>
      </c>
      <c r="Q470">
        <v>26</v>
      </c>
      <c r="R470">
        <v>803</v>
      </c>
      <c r="S470">
        <v>13055.89</v>
      </c>
      <c r="T470" t="s">
        <v>63</v>
      </c>
    </row>
    <row r="471" spans="1:20" x14ac:dyDescent="0.35">
      <c r="A471" t="s">
        <v>1804</v>
      </c>
      <c r="B471" t="s">
        <v>1805</v>
      </c>
      <c r="C471" t="s">
        <v>1806</v>
      </c>
      <c r="D471">
        <v>44597</v>
      </c>
      <c r="E471" t="s">
        <v>34</v>
      </c>
      <c r="F471">
        <v>4219.6000000000004</v>
      </c>
      <c r="G471">
        <v>33146.699999999997</v>
      </c>
      <c r="H471" t="s">
        <v>35</v>
      </c>
      <c r="I471">
        <v>21</v>
      </c>
      <c r="J471" t="s">
        <v>42</v>
      </c>
      <c r="K471" t="s">
        <v>36</v>
      </c>
      <c r="L471" t="s">
        <v>1807</v>
      </c>
      <c r="M471" t="s">
        <v>52</v>
      </c>
      <c r="N471" t="s">
        <v>29</v>
      </c>
      <c r="O471">
        <v>4.78</v>
      </c>
      <c r="Q471">
        <v>20</v>
      </c>
      <c r="R471">
        <v>302</v>
      </c>
      <c r="S471">
        <v>3888.03</v>
      </c>
      <c r="T471" t="s">
        <v>45</v>
      </c>
    </row>
    <row r="472" spans="1:20" x14ac:dyDescent="0.35">
      <c r="A472" t="s">
        <v>1808</v>
      </c>
      <c r="B472" t="s">
        <v>1809</v>
      </c>
      <c r="C472" t="s">
        <v>1810</v>
      </c>
      <c r="D472">
        <v>44615</v>
      </c>
      <c r="E472" t="s">
        <v>23</v>
      </c>
      <c r="F472">
        <v>7620.15</v>
      </c>
      <c r="G472">
        <v>28419.360000000001</v>
      </c>
      <c r="H472" t="s">
        <v>35</v>
      </c>
      <c r="I472">
        <v>46</v>
      </c>
      <c r="J472" t="s">
        <v>42</v>
      </c>
      <c r="K472" t="s">
        <v>36</v>
      </c>
      <c r="L472" t="s">
        <v>921</v>
      </c>
      <c r="M472" t="s">
        <v>38</v>
      </c>
      <c r="N472" t="s">
        <v>62</v>
      </c>
      <c r="O472">
        <v>4.25</v>
      </c>
      <c r="Q472">
        <v>15</v>
      </c>
      <c r="R472">
        <v>785</v>
      </c>
      <c r="S472">
        <v>2387.15</v>
      </c>
      <c r="T472" t="s">
        <v>63</v>
      </c>
    </row>
    <row r="473" spans="1:20" x14ac:dyDescent="0.35">
      <c r="A473" t="s">
        <v>1811</v>
      </c>
      <c r="B473" t="s">
        <v>1812</v>
      </c>
      <c r="C473" t="s">
        <v>1813</v>
      </c>
      <c r="D473">
        <v>44754</v>
      </c>
      <c r="E473" t="s">
        <v>34</v>
      </c>
      <c r="F473">
        <v>1959.64</v>
      </c>
      <c r="G473">
        <v>34664.92</v>
      </c>
      <c r="H473" t="s">
        <v>100</v>
      </c>
      <c r="I473">
        <v>58</v>
      </c>
      <c r="J473" t="s">
        <v>25</v>
      </c>
      <c r="K473" t="s">
        <v>36</v>
      </c>
      <c r="L473" t="s">
        <v>1814</v>
      </c>
      <c r="M473" t="s">
        <v>38</v>
      </c>
      <c r="N473" t="s">
        <v>29</v>
      </c>
      <c r="O473">
        <v>3.97</v>
      </c>
      <c r="Q473">
        <v>18</v>
      </c>
      <c r="R473">
        <v>815</v>
      </c>
      <c r="S473">
        <v>14135.82</v>
      </c>
      <c r="T473" t="s">
        <v>63</v>
      </c>
    </row>
    <row r="474" spans="1:20" x14ac:dyDescent="0.35">
      <c r="A474" t="s">
        <v>1815</v>
      </c>
      <c r="B474" t="s">
        <v>1816</v>
      </c>
      <c r="C474" t="s">
        <v>1817</v>
      </c>
      <c r="D474">
        <v>44813</v>
      </c>
      <c r="E474" t="s">
        <v>23</v>
      </c>
      <c r="F474">
        <v>7225.94</v>
      </c>
      <c r="G474">
        <v>33246.050000000003</v>
      </c>
      <c r="H474" t="s">
        <v>35</v>
      </c>
      <c r="I474">
        <v>62</v>
      </c>
      <c r="J474" t="s">
        <v>25</v>
      </c>
      <c r="K474" t="s">
        <v>36</v>
      </c>
      <c r="L474" t="s">
        <v>1209</v>
      </c>
      <c r="M474" t="s">
        <v>52</v>
      </c>
      <c r="N474" t="s">
        <v>62</v>
      </c>
      <c r="O474">
        <v>3.95</v>
      </c>
      <c r="P474">
        <v>28451.7</v>
      </c>
      <c r="Q474">
        <v>13</v>
      </c>
      <c r="R474">
        <v>341</v>
      </c>
      <c r="S474">
        <v>8847.75</v>
      </c>
      <c r="T474" t="s">
        <v>30</v>
      </c>
    </row>
    <row r="475" spans="1:20" x14ac:dyDescent="0.35">
      <c r="A475" t="s">
        <v>1818</v>
      </c>
      <c r="B475" t="s">
        <v>1819</v>
      </c>
      <c r="C475" t="s">
        <v>1820</v>
      </c>
      <c r="D475">
        <v>44797</v>
      </c>
      <c r="E475" t="s">
        <v>71</v>
      </c>
      <c r="F475">
        <v>8682.64</v>
      </c>
      <c r="G475">
        <v>6733.57</v>
      </c>
      <c r="H475" t="s">
        <v>49</v>
      </c>
      <c r="I475">
        <v>67</v>
      </c>
      <c r="J475" t="s">
        <v>25</v>
      </c>
      <c r="K475" t="s">
        <v>26</v>
      </c>
      <c r="L475" t="s">
        <v>1821</v>
      </c>
      <c r="M475" t="s">
        <v>38</v>
      </c>
      <c r="N475" t="s">
        <v>29</v>
      </c>
      <c r="O475">
        <v>1.71</v>
      </c>
      <c r="R475">
        <v>308</v>
      </c>
      <c r="S475">
        <v>8991.89</v>
      </c>
      <c r="T475" t="s">
        <v>63</v>
      </c>
    </row>
    <row r="476" spans="1:20" x14ac:dyDescent="0.35">
      <c r="A476" t="s">
        <v>1822</v>
      </c>
      <c r="B476" t="s">
        <v>1823</v>
      </c>
      <c r="C476" t="s">
        <v>1824</v>
      </c>
      <c r="D476">
        <v>44875</v>
      </c>
      <c r="E476" t="s">
        <v>23</v>
      </c>
      <c r="F476">
        <v>4594.07</v>
      </c>
      <c r="G476">
        <v>40186.18</v>
      </c>
      <c r="H476" t="s">
        <v>35</v>
      </c>
      <c r="I476">
        <v>32</v>
      </c>
      <c r="J476" t="s">
        <v>42</v>
      </c>
      <c r="K476" t="s">
        <v>26</v>
      </c>
      <c r="L476" t="s">
        <v>1742</v>
      </c>
      <c r="M476" t="s">
        <v>52</v>
      </c>
      <c r="N476" t="s">
        <v>44</v>
      </c>
      <c r="O476">
        <v>4.3</v>
      </c>
      <c r="P476">
        <v>28616.75</v>
      </c>
      <c r="R476">
        <v>441</v>
      </c>
      <c r="S476">
        <v>12149.33</v>
      </c>
      <c r="T476" t="s">
        <v>30</v>
      </c>
    </row>
    <row r="477" spans="1:20" x14ac:dyDescent="0.35">
      <c r="A477" t="s">
        <v>1825</v>
      </c>
      <c r="B477" t="s">
        <v>220</v>
      </c>
      <c r="C477" t="s">
        <v>1826</v>
      </c>
      <c r="D477">
        <v>44840</v>
      </c>
      <c r="E477" t="s">
        <v>23</v>
      </c>
      <c r="F477">
        <v>8232.18</v>
      </c>
      <c r="G477">
        <v>7038.4</v>
      </c>
      <c r="H477" t="s">
        <v>35</v>
      </c>
      <c r="I477">
        <v>45</v>
      </c>
      <c r="J477" t="s">
        <v>42</v>
      </c>
      <c r="K477" t="s">
        <v>26</v>
      </c>
      <c r="L477" t="s">
        <v>1827</v>
      </c>
      <c r="M477" t="s">
        <v>28</v>
      </c>
      <c r="N477" t="s">
        <v>29</v>
      </c>
      <c r="O477">
        <v>2.1</v>
      </c>
      <c r="R477">
        <v>735</v>
      </c>
      <c r="S477">
        <v>6090.96</v>
      </c>
      <c r="T477" t="s">
        <v>45</v>
      </c>
    </row>
    <row r="478" spans="1:20" x14ac:dyDescent="0.35">
      <c r="A478" t="s">
        <v>1828</v>
      </c>
      <c r="B478" t="s">
        <v>1829</v>
      </c>
      <c r="C478" t="s">
        <v>1830</v>
      </c>
      <c r="D478">
        <v>44747</v>
      </c>
      <c r="E478" t="s">
        <v>56</v>
      </c>
      <c r="F478">
        <v>5591.11</v>
      </c>
      <c r="G478">
        <v>35228</v>
      </c>
      <c r="H478" t="s">
        <v>100</v>
      </c>
      <c r="I478">
        <v>59</v>
      </c>
      <c r="J478" t="s">
        <v>42</v>
      </c>
      <c r="K478" t="s">
        <v>50</v>
      </c>
      <c r="L478" t="s">
        <v>1831</v>
      </c>
      <c r="M478" t="s">
        <v>52</v>
      </c>
      <c r="N478" t="s">
        <v>44</v>
      </c>
      <c r="O478">
        <v>4.72</v>
      </c>
      <c r="R478">
        <v>326</v>
      </c>
      <c r="S478">
        <v>8264.7999999999993</v>
      </c>
      <c r="T478" t="s">
        <v>30</v>
      </c>
    </row>
    <row r="479" spans="1:20" x14ac:dyDescent="0.35">
      <c r="A479" t="s">
        <v>1832</v>
      </c>
      <c r="B479" t="s">
        <v>1833</v>
      </c>
      <c r="C479" t="s">
        <v>1834</v>
      </c>
      <c r="D479">
        <v>44746</v>
      </c>
      <c r="E479" t="s">
        <v>34</v>
      </c>
      <c r="F479">
        <v>6407.2</v>
      </c>
      <c r="G479">
        <v>21391.119999999999</v>
      </c>
      <c r="H479" t="s">
        <v>24</v>
      </c>
      <c r="I479">
        <v>33</v>
      </c>
      <c r="J479" t="s">
        <v>25</v>
      </c>
      <c r="K479" t="s">
        <v>50</v>
      </c>
      <c r="L479" t="s">
        <v>682</v>
      </c>
      <c r="M479" t="s">
        <v>52</v>
      </c>
      <c r="N479" t="s">
        <v>44</v>
      </c>
      <c r="O479">
        <v>2.46</v>
      </c>
      <c r="Q479">
        <v>11</v>
      </c>
      <c r="R479">
        <v>342</v>
      </c>
      <c r="S479">
        <v>14592.62</v>
      </c>
      <c r="T479" t="s">
        <v>45</v>
      </c>
    </row>
    <row r="480" spans="1:20" x14ac:dyDescent="0.35">
      <c r="A480" t="s">
        <v>1835</v>
      </c>
      <c r="B480" t="s">
        <v>1836</v>
      </c>
      <c r="C480" t="s">
        <v>1837</v>
      </c>
      <c r="D480">
        <v>45038</v>
      </c>
      <c r="E480" t="s">
        <v>71</v>
      </c>
      <c r="F480">
        <v>5310.16</v>
      </c>
      <c r="G480">
        <v>26178.69</v>
      </c>
      <c r="H480" t="s">
        <v>35</v>
      </c>
      <c r="I480">
        <v>29</v>
      </c>
      <c r="J480" t="s">
        <v>25</v>
      </c>
      <c r="K480" t="s">
        <v>26</v>
      </c>
      <c r="L480" t="s">
        <v>1411</v>
      </c>
      <c r="M480" t="s">
        <v>52</v>
      </c>
      <c r="N480" t="s">
        <v>44</v>
      </c>
      <c r="O480">
        <v>4.43</v>
      </c>
      <c r="P480">
        <v>16319.55</v>
      </c>
      <c r="Q480">
        <v>6</v>
      </c>
      <c r="R480">
        <v>430</v>
      </c>
      <c r="S480">
        <v>10737.93</v>
      </c>
      <c r="T480" t="s">
        <v>63</v>
      </c>
    </row>
    <row r="481" spans="1:20" x14ac:dyDescent="0.35">
      <c r="A481" t="s">
        <v>1838</v>
      </c>
      <c r="B481" t="s">
        <v>1839</v>
      </c>
      <c r="C481" t="s">
        <v>1840</v>
      </c>
      <c r="D481">
        <v>44976</v>
      </c>
      <c r="E481" t="s">
        <v>23</v>
      </c>
      <c r="F481">
        <v>4685.41</v>
      </c>
      <c r="G481">
        <v>45261.599999999999</v>
      </c>
      <c r="H481" t="s">
        <v>35</v>
      </c>
      <c r="I481">
        <v>69</v>
      </c>
      <c r="J481" t="s">
        <v>42</v>
      </c>
      <c r="K481" t="s">
        <v>50</v>
      </c>
      <c r="L481" t="s">
        <v>1841</v>
      </c>
      <c r="M481" t="s">
        <v>38</v>
      </c>
      <c r="N481" t="s">
        <v>62</v>
      </c>
      <c r="O481">
        <v>2.06</v>
      </c>
      <c r="P481">
        <v>20453.93</v>
      </c>
      <c r="R481">
        <v>515</v>
      </c>
      <c r="S481">
        <v>3998.69</v>
      </c>
      <c r="T481" t="s">
        <v>63</v>
      </c>
    </row>
    <row r="482" spans="1:20" x14ac:dyDescent="0.35">
      <c r="A482" t="s">
        <v>1842</v>
      </c>
      <c r="B482" t="s">
        <v>1843</v>
      </c>
      <c r="C482" t="s">
        <v>1844</v>
      </c>
      <c r="D482">
        <v>44954</v>
      </c>
      <c r="E482" t="s">
        <v>71</v>
      </c>
      <c r="F482">
        <v>2423.0700000000002</v>
      </c>
      <c r="G482">
        <v>44604.3</v>
      </c>
      <c r="H482" t="s">
        <v>24</v>
      </c>
      <c r="I482">
        <v>22</v>
      </c>
      <c r="J482" t="s">
        <v>25</v>
      </c>
      <c r="K482" t="s">
        <v>50</v>
      </c>
      <c r="L482" t="s">
        <v>1569</v>
      </c>
      <c r="M482" t="s">
        <v>52</v>
      </c>
      <c r="N482" t="s">
        <v>44</v>
      </c>
      <c r="O482">
        <v>3.06</v>
      </c>
      <c r="R482">
        <v>819</v>
      </c>
      <c r="S482">
        <v>3731.95</v>
      </c>
      <c r="T482" t="s">
        <v>30</v>
      </c>
    </row>
    <row r="483" spans="1:20" x14ac:dyDescent="0.35">
      <c r="A483" t="s">
        <v>1845</v>
      </c>
      <c r="B483" t="s">
        <v>1846</v>
      </c>
      <c r="C483" t="s">
        <v>1847</v>
      </c>
      <c r="D483">
        <v>45063</v>
      </c>
      <c r="E483" t="s">
        <v>56</v>
      </c>
      <c r="F483">
        <v>3101.62</v>
      </c>
      <c r="G483">
        <v>41074.959999999999</v>
      </c>
      <c r="H483" t="s">
        <v>100</v>
      </c>
      <c r="I483">
        <v>51</v>
      </c>
      <c r="J483" t="s">
        <v>42</v>
      </c>
      <c r="K483" t="s">
        <v>36</v>
      </c>
      <c r="L483" t="s">
        <v>1848</v>
      </c>
      <c r="M483" t="s">
        <v>52</v>
      </c>
      <c r="N483" t="s">
        <v>29</v>
      </c>
      <c r="O483">
        <v>1.43</v>
      </c>
      <c r="P483">
        <v>13639.64</v>
      </c>
      <c r="Q483">
        <v>29</v>
      </c>
      <c r="R483">
        <v>644</v>
      </c>
      <c r="S483">
        <v>4655.4399999999996</v>
      </c>
      <c r="T483" t="s">
        <v>45</v>
      </c>
    </row>
    <row r="484" spans="1:20" x14ac:dyDescent="0.35">
      <c r="A484" t="s">
        <v>1849</v>
      </c>
      <c r="B484" t="s">
        <v>1850</v>
      </c>
      <c r="C484" t="s">
        <v>1851</v>
      </c>
      <c r="D484">
        <v>44821</v>
      </c>
      <c r="E484" t="s">
        <v>34</v>
      </c>
      <c r="F484">
        <v>2970.7</v>
      </c>
      <c r="G484">
        <v>25997.27</v>
      </c>
      <c r="H484" t="s">
        <v>24</v>
      </c>
      <c r="I484">
        <v>59</v>
      </c>
      <c r="J484" t="s">
        <v>25</v>
      </c>
      <c r="K484" t="s">
        <v>36</v>
      </c>
      <c r="L484" t="s">
        <v>1852</v>
      </c>
      <c r="M484" t="s">
        <v>52</v>
      </c>
      <c r="N484" t="s">
        <v>62</v>
      </c>
      <c r="O484">
        <v>3.64</v>
      </c>
      <c r="P484">
        <v>15119.38</v>
      </c>
      <c r="R484">
        <v>807</v>
      </c>
      <c r="S484">
        <v>11967.25</v>
      </c>
      <c r="T484" t="s">
        <v>63</v>
      </c>
    </row>
    <row r="485" spans="1:20" x14ac:dyDescent="0.35">
      <c r="A485" t="s">
        <v>1853</v>
      </c>
      <c r="B485" t="s">
        <v>1854</v>
      </c>
      <c r="C485" t="s">
        <v>1855</v>
      </c>
      <c r="D485">
        <v>45077</v>
      </c>
      <c r="E485" t="s">
        <v>23</v>
      </c>
      <c r="F485">
        <v>5676.56</v>
      </c>
      <c r="G485">
        <v>37075.75</v>
      </c>
      <c r="H485" t="s">
        <v>100</v>
      </c>
      <c r="I485">
        <v>18</v>
      </c>
      <c r="J485" t="s">
        <v>42</v>
      </c>
      <c r="K485" t="s">
        <v>50</v>
      </c>
      <c r="L485" t="s">
        <v>1856</v>
      </c>
      <c r="M485" t="s">
        <v>28</v>
      </c>
      <c r="N485" t="s">
        <v>44</v>
      </c>
      <c r="O485">
        <v>4.34</v>
      </c>
      <c r="Q485">
        <v>25</v>
      </c>
      <c r="R485">
        <v>712</v>
      </c>
      <c r="S485">
        <v>5839.9</v>
      </c>
      <c r="T485" t="s">
        <v>30</v>
      </c>
    </row>
    <row r="486" spans="1:20" x14ac:dyDescent="0.35">
      <c r="A486" t="s">
        <v>1857</v>
      </c>
      <c r="B486" t="s">
        <v>1858</v>
      </c>
      <c r="C486" t="s">
        <v>1859</v>
      </c>
      <c r="D486">
        <v>45062</v>
      </c>
      <c r="E486" t="s">
        <v>34</v>
      </c>
      <c r="F486">
        <v>1287.54</v>
      </c>
      <c r="G486">
        <v>26131.96</v>
      </c>
      <c r="H486" t="s">
        <v>49</v>
      </c>
      <c r="I486">
        <v>56</v>
      </c>
      <c r="J486" t="s">
        <v>25</v>
      </c>
      <c r="K486" t="s">
        <v>50</v>
      </c>
      <c r="L486" t="s">
        <v>1860</v>
      </c>
      <c r="M486" t="s">
        <v>52</v>
      </c>
      <c r="N486" t="s">
        <v>62</v>
      </c>
      <c r="O486">
        <v>3.87</v>
      </c>
      <c r="Q486">
        <v>2</v>
      </c>
      <c r="R486">
        <v>545</v>
      </c>
      <c r="S486">
        <v>2278.06</v>
      </c>
      <c r="T486" t="s">
        <v>30</v>
      </c>
    </row>
    <row r="487" spans="1:20" x14ac:dyDescent="0.35">
      <c r="A487" t="s">
        <v>1861</v>
      </c>
      <c r="B487" t="s">
        <v>1862</v>
      </c>
      <c r="C487" t="s">
        <v>1863</v>
      </c>
      <c r="D487">
        <v>44649</v>
      </c>
      <c r="E487" t="s">
        <v>56</v>
      </c>
      <c r="F487">
        <v>9176.24</v>
      </c>
      <c r="G487">
        <v>43610.7</v>
      </c>
      <c r="H487" t="s">
        <v>100</v>
      </c>
      <c r="I487">
        <v>49</v>
      </c>
      <c r="J487" t="s">
        <v>25</v>
      </c>
      <c r="K487" t="s">
        <v>26</v>
      </c>
      <c r="L487" t="s">
        <v>785</v>
      </c>
      <c r="M487" t="s">
        <v>38</v>
      </c>
      <c r="N487" t="s">
        <v>62</v>
      </c>
      <c r="O487">
        <v>3.09</v>
      </c>
      <c r="P487">
        <v>34376.6</v>
      </c>
      <c r="Q487">
        <v>13</v>
      </c>
      <c r="R487">
        <v>748</v>
      </c>
      <c r="S487">
        <v>14274.27</v>
      </c>
      <c r="T487" t="s">
        <v>30</v>
      </c>
    </row>
    <row r="488" spans="1:20" x14ac:dyDescent="0.35">
      <c r="A488" t="s">
        <v>1864</v>
      </c>
      <c r="B488" t="s">
        <v>1865</v>
      </c>
      <c r="C488" t="s">
        <v>1866</v>
      </c>
      <c r="D488">
        <v>44612</v>
      </c>
      <c r="E488" t="s">
        <v>56</v>
      </c>
      <c r="F488">
        <v>7234.49</v>
      </c>
      <c r="G488">
        <v>20736.02</v>
      </c>
      <c r="H488" t="s">
        <v>49</v>
      </c>
      <c r="I488">
        <v>43</v>
      </c>
      <c r="J488" t="s">
        <v>42</v>
      </c>
      <c r="K488" t="s">
        <v>50</v>
      </c>
      <c r="L488" t="s">
        <v>1867</v>
      </c>
      <c r="M488" t="s">
        <v>52</v>
      </c>
      <c r="N488" t="s">
        <v>62</v>
      </c>
      <c r="O488">
        <v>1.18</v>
      </c>
      <c r="R488">
        <v>320</v>
      </c>
      <c r="S488">
        <v>4206.2700000000004</v>
      </c>
      <c r="T488" t="s">
        <v>63</v>
      </c>
    </row>
    <row r="489" spans="1:20" x14ac:dyDescent="0.35">
      <c r="A489" t="s">
        <v>1868</v>
      </c>
      <c r="B489" t="s">
        <v>1869</v>
      </c>
      <c r="C489" t="s">
        <v>1870</v>
      </c>
      <c r="D489">
        <v>44963</v>
      </c>
      <c r="E489" t="s">
        <v>71</v>
      </c>
      <c r="F489">
        <v>4074.31</v>
      </c>
      <c r="G489">
        <v>48541.53</v>
      </c>
      <c r="H489" t="s">
        <v>49</v>
      </c>
      <c r="I489">
        <v>34</v>
      </c>
      <c r="J489" t="s">
        <v>42</v>
      </c>
      <c r="K489" t="s">
        <v>36</v>
      </c>
      <c r="L489" t="s">
        <v>1871</v>
      </c>
      <c r="M489" t="s">
        <v>52</v>
      </c>
      <c r="N489" t="s">
        <v>29</v>
      </c>
      <c r="O489">
        <v>4.7300000000000004</v>
      </c>
      <c r="R489">
        <v>707</v>
      </c>
      <c r="S489">
        <v>2124.2600000000002</v>
      </c>
      <c r="T489" t="s">
        <v>45</v>
      </c>
    </row>
    <row r="490" spans="1:20" x14ac:dyDescent="0.35">
      <c r="A490" t="s">
        <v>1872</v>
      </c>
      <c r="B490" t="s">
        <v>1873</v>
      </c>
      <c r="C490" t="s">
        <v>1874</v>
      </c>
      <c r="D490">
        <v>44678</v>
      </c>
      <c r="E490" t="s">
        <v>23</v>
      </c>
      <c r="F490">
        <v>1670.38</v>
      </c>
      <c r="G490">
        <v>46683.82</v>
      </c>
      <c r="H490" t="s">
        <v>100</v>
      </c>
      <c r="I490">
        <v>65</v>
      </c>
      <c r="J490" t="s">
        <v>42</v>
      </c>
      <c r="K490" t="s">
        <v>50</v>
      </c>
      <c r="L490" t="s">
        <v>818</v>
      </c>
      <c r="M490" t="s">
        <v>28</v>
      </c>
      <c r="N490" t="s">
        <v>44</v>
      </c>
      <c r="O490">
        <v>3.82</v>
      </c>
      <c r="P490">
        <v>13267.78</v>
      </c>
      <c r="R490">
        <v>756</v>
      </c>
      <c r="S490">
        <v>5082.71</v>
      </c>
      <c r="T490" t="s">
        <v>63</v>
      </c>
    </row>
    <row r="491" spans="1:20" x14ac:dyDescent="0.35">
      <c r="A491" t="s">
        <v>1875</v>
      </c>
      <c r="B491" t="s">
        <v>1876</v>
      </c>
      <c r="C491" t="s">
        <v>1877</v>
      </c>
      <c r="D491">
        <v>45051</v>
      </c>
      <c r="E491" t="s">
        <v>71</v>
      </c>
      <c r="F491">
        <v>8831.7199999999993</v>
      </c>
      <c r="G491">
        <v>37338.53</v>
      </c>
      <c r="H491" t="s">
        <v>125</v>
      </c>
      <c r="I491">
        <v>44</v>
      </c>
      <c r="J491" t="s">
        <v>42</v>
      </c>
      <c r="K491" t="s">
        <v>26</v>
      </c>
      <c r="L491" t="s">
        <v>921</v>
      </c>
      <c r="M491" t="s">
        <v>52</v>
      </c>
      <c r="N491" t="s">
        <v>62</v>
      </c>
      <c r="O491">
        <v>3.98</v>
      </c>
      <c r="P491">
        <v>22048.14</v>
      </c>
      <c r="R491">
        <v>743</v>
      </c>
      <c r="S491">
        <v>5055.37</v>
      </c>
      <c r="T491" t="s">
        <v>63</v>
      </c>
    </row>
    <row r="492" spans="1:20" x14ac:dyDescent="0.35">
      <c r="A492" t="s">
        <v>1878</v>
      </c>
      <c r="B492" t="s">
        <v>1879</v>
      </c>
      <c r="C492" t="s">
        <v>1880</v>
      </c>
      <c r="D492">
        <v>44863</v>
      </c>
      <c r="E492" t="s">
        <v>56</v>
      </c>
      <c r="F492">
        <v>8255.4</v>
      </c>
      <c r="G492">
        <v>14691.38</v>
      </c>
      <c r="H492" t="s">
        <v>100</v>
      </c>
      <c r="I492">
        <v>41</v>
      </c>
      <c r="J492" t="s">
        <v>42</v>
      </c>
      <c r="K492" t="s">
        <v>36</v>
      </c>
      <c r="L492" t="s">
        <v>1512</v>
      </c>
      <c r="M492" t="s">
        <v>38</v>
      </c>
      <c r="N492" t="s">
        <v>62</v>
      </c>
      <c r="O492">
        <v>4.18</v>
      </c>
      <c r="R492">
        <v>564</v>
      </c>
      <c r="S492">
        <v>7486.07</v>
      </c>
      <c r="T492" t="s">
        <v>45</v>
      </c>
    </row>
    <row r="493" spans="1:20" x14ac:dyDescent="0.35">
      <c r="A493" t="s">
        <v>1881</v>
      </c>
      <c r="B493" t="s">
        <v>1882</v>
      </c>
      <c r="C493" t="s">
        <v>1883</v>
      </c>
      <c r="D493">
        <v>45114</v>
      </c>
      <c r="E493" t="s">
        <v>34</v>
      </c>
      <c r="F493">
        <v>7245.04</v>
      </c>
      <c r="G493">
        <v>7451.03</v>
      </c>
      <c r="H493" t="s">
        <v>35</v>
      </c>
      <c r="I493">
        <v>52</v>
      </c>
      <c r="J493" t="s">
        <v>25</v>
      </c>
      <c r="K493" t="s">
        <v>36</v>
      </c>
      <c r="L493" t="s">
        <v>709</v>
      </c>
      <c r="M493" t="s">
        <v>52</v>
      </c>
      <c r="N493" t="s">
        <v>62</v>
      </c>
      <c r="O493">
        <v>3.99</v>
      </c>
      <c r="P493">
        <v>5443.73</v>
      </c>
      <c r="Q493">
        <v>24</v>
      </c>
      <c r="R493">
        <v>483</v>
      </c>
      <c r="S493">
        <v>13965.07</v>
      </c>
      <c r="T493" t="s">
        <v>30</v>
      </c>
    </row>
    <row r="494" spans="1:20" x14ac:dyDescent="0.35">
      <c r="A494" t="s">
        <v>1884</v>
      </c>
      <c r="B494" t="s">
        <v>1885</v>
      </c>
      <c r="C494" t="s">
        <v>1886</v>
      </c>
      <c r="D494">
        <v>44571</v>
      </c>
      <c r="E494" t="s">
        <v>71</v>
      </c>
      <c r="F494">
        <v>2788.32</v>
      </c>
      <c r="G494">
        <v>42880.47</v>
      </c>
      <c r="H494" t="s">
        <v>35</v>
      </c>
      <c r="I494">
        <v>63</v>
      </c>
      <c r="J494" t="s">
        <v>42</v>
      </c>
      <c r="K494" t="s">
        <v>36</v>
      </c>
      <c r="L494" t="s">
        <v>966</v>
      </c>
      <c r="M494" t="s">
        <v>38</v>
      </c>
      <c r="N494" t="s">
        <v>44</v>
      </c>
      <c r="O494">
        <v>2.76</v>
      </c>
      <c r="P494">
        <v>35504.089999999997</v>
      </c>
      <c r="R494">
        <v>526</v>
      </c>
      <c r="S494">
        <v>13429.4</v>
      </c>
      <c r="T494" t="s">
        <v>63</v>
      </c>
    </row>
    <row r="495" spans="1:20" x14ac:dyDescent="0.35">
      <c r="A495" t="s">
        <v>1887</v>
      </c>
      <c r="B495" t="s">
        <v>1888</v>
      </c>
      <c r="C495" t="s">
        <v>1889</v>
      </c>
      <c r="D495">
        <v>44606</v>
      </c>
      <c r="E495" t="s">
        <v>71</v>
      </c>
      <c r="F495">
        <v>4084.22</v>
      </c>
      <c r="G495">
        <v>9099.81</v>
      </c>
      <c r="H495" t="s">
        <v>125</v>
      </c>
      <c r="I495">
        <v>59</v>
      </c>
      <c r="J495" t="s">
        <v>42</v>
      </c>
      <c r="K495" t="s">
        <v>36</v>
      </c>
      <c r="L495" t="s">
        <v>609</v>
      </c>
      <c r="M495" t="s">
        <v>28</v>
      </c>
      <c r="N495" t="s">
        <v>62</v>
      </c>
      <c r="O495">
        <v>3.93</v>
      </c>
      <c r="Q495">
        <v>29</v>
      </c>
      <c r="R495">
        <v>847</v>
      </c>
      <c r="S495">
        <v>7939.63</v>
      </c>
      <c r="T495" t="s">
        <v>30</v>
      </c>
    </row>
    <row r="496" spans="1:20" x14ac:dyDescent="0.35">
      <c r="A496" t="s">
        <v>1890</v>
      </c>
      <c r="B496" t="s">
        <v>1891</v>
      </c>
      <c r="C496" t="s">
        <v>1892</v>
      </c>
      <c r="D496">
        <v>44762</v>
      </c>
      <c r="E496" t="s">
        <v>34</v>
      </c>
      <c r="F496">
        <v>1117.21</v>
      </c>
      <c r="G496">
        <v>42858.78</v>
      </c>
      <c r="H496" t="s">
        <v>49</v>
      </c>
      <c r="I496">
        <v>56</v>
      </c>
      <c r="J496" t="s">
        <v>42</v>
      </c>
      <c r="K496" t="s">
        <v>50</v>
      </c>
      <c r="L496" t="s">
        <v>664</v>
      </c>
      <c r="M496" t="s">
        <v>52</v>
      </c>
      <c r="N496" t="s">
        <v>62</v>
      </c>
      <c r="O496">
        <v>3.5</v>
      </c>
      <c r="Q496">
        <v>2</v>
      </c>
      <c r="R496">
        <v>545</v>
      </c>
      <c r="S496">
        <v>7341.7</v>
      </c>
      <c r="T496" t="s">
        <v>30</v>
      </c>
    </row>
    <row r="497" spans="1:20" x14ac:dyDescent="0.35">
      <c r="A497" t="s">
        <v>1893</v>
      </c>
      <c r="B497" t="s">
        <v>1894</v>
      </c>
      <c r="C497" t="s">
        <v>1895</v>
      </c>
      <c r="D497">
        <v>45002</v>
      </c>
      <c r="E497" t="s">
        <v>71</v>
      </c>
      <c r="F497">
        <v>1971.49</v>
      </c>
      <c r="G497">
        <v>25047.49</v>
      </c>
      <c r="H497" t="s">
        <v>125</v>
      </c>
      <c r="I497">
        <v>43</v>
      </c>
      <c r="J497" t="s">
        <v>25</v>
      </c>
      <c r="K497" t="s">
        <v>26</v>
      </c>
      <c r="L497" t="s">
        <v>1896</v>
      </c>
      <c r="M497" t="s">
        <v>28</v>
      </c>
      <c r="N497" t="s">
        <v>29</v>
      </c>
      <c r="O497">
        <v>4.42</v>
      </c>
      <c r="Q497">
        <v>21</v>
      </c>
      <c r="R497">
        <v>372</v>
      </c>
      <c r="S497">
        <v>9215.1200000000008</v>
      </c>
      <c r="T497" t="s">
        <v>45</v>
      </c>
    </row>
    <row r="498" spans="1:20" x14ac:dyDescent="0.35">
      <c r="A498" t="s">
        <v>1897</v>
      </c>
      <c r="B498" t="s">
        <v>1898</v>
      </c>
      <c r="C498" t="s">
        <v>1899</v>
      </c>
      <c r="D498">
        <v>45114</v>
      </c>
      <c r="E498" t="s">
        <v>34</v>
      </c>
      <c r="F498">
        <v>7851.86</v>
      </c>
      <c r="G498">
        <v>20921.28</v>
      </c>
      <c r="H498" t="s">
        <v>35</v>
      </c>
      <c r="I498">
        <v>66</v>
      </c>
      <c r="J498" t="s">
        <v>42</v>
      </c>
      <c r="K498" t="s">
        <v>50</v>
      </c>
      <c r="L498" t="s">
        <v>1900</v>
      </c>
      <c r="M498" t="s">
        <v>52</v>
      </c>
      <c r="N498" t="s">
        <v>44</v>
      </c>
      <c r="O498">
        <v>4.21</v>
      </c>
      <c r="R498">
        <v>449</v>
      </c>
      <c r="S498">
        <v>5164.8999999999996</v>
      </c>
      <c r="T498" t="s">
        <v>45</v>
      </c>
    </row>
    <row r="499" spans="1:20" x14ac:dyDescent="0.35">
      <c r="A499" t="s">
        <v>1901</v>
      </c>
      <c r="B499" t="s">
        <v>1902</v>
      </c>
      <c r="C499" t="s">
        <v>1903</v>
      </c>
      <c r="D499">
        <v>45076</v>
      </c>
      <c r="E499" t="s">
        <v>23</v>
      </c>
      <c r="F499">
        <v>7178.88</v>
      </c>
      <c r="G499">
        <v>45256.35</v>
      </c>
      <c r="H499" t="s">
        <v>125</v>
      </c>
      <c r="I499">
        <v>55</v>
      </c>
      <c r="J499" t="s">
        <v>42</v>
      </c>
      <c r="K499" t="s">
        <v>50</v>
      </c>
      <c r="L499" t="s">
        <v>1904</v>
      </c>
      <c r="M499" t="s">
        <v>38</v>
      </c>
      <c r="N499" t="s">
        <v>29</v>
      </c>
      <c r="O499">
        <v>1.17</v>
      </c>
      <c r="P499">
        <v>44502.45</v>
      </c>
      <c r="R499">
        <v>812</v>
      </c>
      <c r="S499">
        <v>2678.4</v>
      </c>
      <c r="T499" t="s">
        <v>45</v>
      </c>
    </row>
    <row r="500" spans="1:20" x14ac:dyDescent="0.35">
      <c r="A500" t="s">
        <v>1905</v>
      </c>
      <c r="B500" t="s">
        <v>1906</v>
      </c>
      <c r="C500" t="s">
        <v>1907</v>
      </c>
      <c r="D500">
        <v>45061</v>
      </c>
      <c r="E500" t="s">
        <v>34</v>
      </c>
      <c r="F500">
        <v>5975.51</v>
      </c>
      <c r="G500">
        <v>30588.7</v>
      </c>
      <c r="H500" t="s">
        <v>100</v>
      </c>
      <c r="I500">
        <v>40</v>
      </c>
      <c r="J500" t="s">
        <v>42</v>
      </c>
      <c r="K500" t="s">
        <v>36</v>
      </c>
      <c r="L500" t="s">
        <v>493</v>
      </c>
      <c r="M500" t="s">
        <v>28</v>
      </c>
      <c r="N500" t="s">
        <v>44</v>
      </c>
      <c r="O500">
        <v>2.52</v>
      </c>
      <c r="P500">
        <v>26684.3</v>
      </c>
      <c r="R500">
        <v>368</v>
      </c>
      <c r="S500">
        <v>14209.91</v>
      </c>
      <c r="T500" t="s">
        <v>30</v>
      </c>
    </row>
    <row r="501" spans="1:20" x14ac:dyDescent="0.35">
      <c r="A501" t="s">
        <v>1908</v>
      </c>
      <c r="B501" t="s">
        <v>1909</v>
      </c>
      <c r="C501" t="s">
        <v>1910</v>
      </c>
      <c r="D501">
        <v>44977</v>
      </c>
      <c r="E501" t="s">
        <v>23</v>
      </c>
      <c r="F501">
        <v>8967.69</v>
      </c>
      <c r="G501">
        <v>29254.09</v>
      </c>
      <c r="H501" t="s">
        <v>125</v>
      </c>
      <c r="I501">
        <v>39</v>
      </c>
      <c r="J501" t="s">
        <v>25</v>
      </c>
      <c r="K501" t="s">
        <v>26</v>
      </c>
      <c r="L501" t="s">
        <v>1911</v>
      </c>
      <c r="M501" t="s">
        <v>52</v>
      </c>
      <c r="N501" t="s">
        <v>44</v>
      </c>
      <c r="O501">
        <v>1.1399999999999999</v>
      </c>
      <c r="R501">
        <v>529</v>
      </c>
      <c r="S501">
        <v>4427.09</v>
      </c>
      <c r="T501" t="s">
        <v>30</v>
      </c>
    </row>
    <row r="502" spans="1:20" x14ac:dyDescent="0.35">
      <c r="A502" t="s">
        <v>1912</v>
      </c>
      <c r="B502" t="s">
        <v>1913</v>
      </c>
      <c r="C502" t="s">
        <v>1914</v>
      </c>
      <c r="D502">
        <v>44761</v>
      </c>
      <c r="E502" t="s">
        <v>34</v>
      </c>
      <c r="F502">
        <v>5874.34</v>
      </c>
      <c r="G502">
        <v>28379.53</v>
      </c>
      <c r="H502" t="s">
        <v>49</v>
      </c>
      <c r="I502">
        <v>21</v>
      </c>
      <c r="J502" t="s">
        <v>25</v>
      </c>
      <c r="K502" t="s">
        <v>36</v>
      </c>
      <c r="L502" t="s">
        <v>1742</v>
      </c>
      <c r="M502" t="s">
        <v>38</v>
      </c>
      <c r="N502" t="s">
        <v>44</v>
      </c>
      <c r="O502">
        <v>1.41</v>
      </c>
      <c r="R502">
        <v>371</v>
      </c>
      <c r="S502">
        <v>4579.21</v>
      </c>
      <c r="T502" t="s">
        <v>63</v>
      </c>
    </row>
    <row r="503" spans="1:20" x14ac:dyDescent="0.35">
      <c r="A503" t="s">
        <v>1915</v>
      </c>
      <c r="B503" t="s">
        <v>1916</v>
      </c>
      <c r="C503" t="s">
        <v>1917</v>
      </c>
      <c r="D503">
        <v>44616</v>
      </c>
      <c r="E503" t="s">
        <v>56</v>
      </c>
      <c r="F503">
        <v>4722.9799999999996</v>
      </c>
      <c r="G503">
        <v>19187.310000000001</v>
      </c>
      <c r="H503" t="s">
        <v>100</v>
      </c>
      <c r="I503">
        <v>66</v>
      </c>
      <c r="J503" t="s">
        <v>42</v>
      </c>
      <c r="K503" t="s">
        <v>50</v>
      </c>
      <c r="L503" t="s">
        <v>296</v>
      </c>
      <c r="M503" t="s">
        <v>28</v>
      </c>
      <c r="N503" t="s">
        <v>29</v>
      </c>
      <c r="O503">
        <v>3.41</v>
      </c>
      <c r="R503">
        <v>696</v>
      </c>
      <c r="S503">
        <v>8141.98</v>
      </c>
      <c r="T503" t="s">
        <v>30</v>
      </c>
    </row>
    <row r="504" spans="1:20" x14ac:dyDescent="0.35">
      <c r="A504" t="s">
        <v>1918</v>
      </c>
      <c r="B504" t="s">
        <v>1919</v>
      </c>
      <c r="C504" t="s">
        <v>1920</v>
      </c>
      <c r="D504">
        <v>44700</v>
      </c>
      <c r="E504" t="s">
        <v>56</v>
      </c>
      <c r="F504">
        <v>3469.67</v>
      </c>
      <c r="G504">
        <v>39496.51</v>
      </c>
      <c r="H504" t="s">
        <v>24</v>
      </c>
      <c r="I504">
        <v>26</v>
      </c>
      <c r="J504" t="s">
        <v>25</v>
      </c>
      <c r="K504" t="s">
        <v>50</v>
      </c>
      <c r="L504" t="s">
        <v>1921</v>
      </c>
      <c r="M504" t="s">
        <v>52</v>
      </c>
      <c r="N504" t="s">
        <v>29</v>
      </c>
      <c r="O504">
        <v>4.5</v>
      </c>
      <c r="R504">
        <v>383</v>
      </c>
      <c r="S504">
        <v>8390.9699999999993</v>
      </c>
      <c r="T504" t="s">
        <v>45</v>
      </c>
    </row>
    <row r="505" spans="1:20" x14ac:dyDescent="0.35">
      <c r="A505" t="s">
        <v>1922</v>
      </c>
      <c r="B505" t="s">
        <v>1923</v>
      </c>
      <c r="C505" t="s">
        <v>1924</v>
      </c>
      <c r="D505">
        <v>44943</v>
      </c>
      <c r="E505" t="s">
        <v>23</v>
      </c>
      <c r="F505">
        <v>9410.44</v>
      </c>
      <c r="G505">
        <v>13387.12</v>
      </c>
      <c r="H505" t="s">
        <v>35</v>
      </c>
      <c r="I505">
        <v>21</v>
      </c>
      <c r="J505" t="s">
        <v>42</v>
      </c>
      <c r="K505" t="s">
        <v>36</v>
      </c>
      <c r="L505" t="s">
        <v>601</v>
      </c>
      <c r="M505" t="s">
        <v>28</v>
      </c>
      <c r="N505" t="s">
        <v>29</v>
      </c>
      <c r="O505">
        <v>1.48</v>
      </c>
      <c r="P505">
        <v>5804.31</v>
      </c>
      <c r="R505">
        <v>598</v>
      </c>
      <c r="S505">
        <v>2239.64</v>
      </c>
      <c r="T505" t="s">
        <v>45</v>
      </c>
    </row>
    <row r="506" spans="1:20" x14ac:dyDescent="0.35">
      <c r="A506" t="s">
        <v>1925</v>
      </c>
      <c r="B506" t="s">
        <v>1926</v>
      </c>
      <c r="C506" t="s">
        <v>1927</v>
      </c>
      <c r="D506">
        <v>44878</v>
      </c>
      <c r="E506" t="s">
        <v>23</v>
      </c>
      <c r="F506">
        <v>918.88</v>
      </c>
      <c r="G506">
        <v>47005.85</v>
      </c>
      <c r="H506" t="s">
        <v>35</v>
      </c>
      <c r="I506">
        <v>24</v>
      </c>
      <c r="J506" t="s">
        <v>25</v>
      </c>
      <c r="K506" t="s">
        <v>50</v>
      </c>
      <c r="L506" t="s">
        <v>355</v>
      </c>
      <c r="M506" t="s">
        <v>52</v>
      </c>
      <c r="N506" t="s">
        <v>29</v>
      </c>
      <c r="O506">
        <v>2.8</v>
      </c>
      <c r="P506">
        <v>20062.52</v>
      </c>
      <c r="Q506">
        <v>12</v>
      </c>
      <c r="R506">
        <v>592</v>
      </c>
      <c r="S506">
        <v>3923.41</v>
      </c>
      <c r="T506" t="s">
        <v>45</v>
      </c>
    </row>
    <row r="507" spans="1:20" x14ac:dyDescent="0.35">
      <c r="A507" t="s">
        <v>1928</v>
      </c>
      <c r="B507" t="s">
        <v>1929</v>
      </c>
      <c r="C507" t="s">
        <v>1930</v>
      </c>
      <c r="D507">
        <v>44962</v>
      </c>
      <c r="E507" t="s">
        <v>56</v>
      </c>
      <c r="F507">
        <v>9315.7800000000007</v>
      </c>
      <c r="G507">
        <v>44805.279999999999</v>
      </c>
      <c r="H507" t="s">
        <v>125</v>
      </c>
      <c r="I507">
        <v>40</v>
      </c>
      <c r="J507" t="s">
        <v>42</v>
      </c>
      <c r="K507" t="s">
        <v>50</v>
      </c>
      <c r="L507" t="s">
        <v>1236</v>
      </c>
      <c r="M507" t="s">
        <v>38</v>
      </c>
      <c r="N507" t="s">
        <v>62</v>
      </c>
      <c r="O507">
        <v>4.6399999999999997</v>
      </c>
      <c r="R507">
        <v>522</v>
      </c>
      <c r="S507">
        <v>6916.01</v>
      </c>
      <c r="T507" t="s">
        <v>45</v>
      </c>
    </row>
    <row r="508" spans="1:20" x14ac:dyDescent="0.35">
      <c r="A508" t="s">
        <v>1931</v>
      </c>
      <c r="B508" t="s">
        <v>1932</v>
      </c>
      <c r="C508" t="s">
        <v>1933</v>
      </c>
      <c r="D508">
        <v>44805</v>
      </c>
      <c r="E508" t="s">
        <v>23</v>
      </c>
      <c r="F508">
        <v>8284.48</v>
      </c>
      <c r="G508">
        <v>17536.54</v>
      </c>
      <c r="H508" t="s">
        <v>100</v>
      </c>
      <c r="I508">
        <v>19</v>
      </c>
      <c r="J508" t="s">
        <v>25</v>
      </c>
      <c r="K508" t="s">
        <v>36</v>
      </c>
      <c r="L508" t="s">
        <v>1860</v>
      </c>
      <c r="M508" t="s">
        <v>38</v>
      </c>
      <c r="N508" t="s">
        <v>62</v>
      </c>
      <c r="O508">
        <v>4.26</v>
      </c>
      <c r="Q508">
        <v>23</v>
      </c>
      <c r="R508">
        <v>515</v>
      </c>
      <c r="S508">
        <v>10888.5</v>
      </c>
      <c r="T508" t="s">
        <v>30</v>
      </c>
    </row>
    <row r="509" spans="1:20" x14ac:dyDescent="0.35">
      <c r="A509" t="s">
        <v>1934</v>
      </c>
      <c r="B509" t="s">
        <v>1935</v>
      </c>
      <c r="C509" t="s">
        <v>1936</v>
      </c>
      <c r="D509">
        <v>44588</v>
      </c>
      <c r="E509" t="s">
        <v>34</v>
      </c>
      <c r="F509">
        <v>1386.31</v>
      </c>
      <c r="G509">
        <v>36743.72</v>
      </c>
      <c r="H509" t="s">
        <v>24</v>
      </c>
      <c r="I509">
        <v>66</v>
      </c>
      <c r="J509" t="s">
        <v>42</v>
      </c>
      <c r="K509" t="s">
        <v>50</v>
      </c>
      <c r="L509" t="s">
        <v>1937</v>
      </c>
      <c r="M509" t="s">
        <v>28</v>
      </c>
      <c r="N509" t="s">
        <v>62</v>
      </c>
      <c r="O509">
        <v>3.08</v>
      </c>
      <c r="P509">
        <v>7551.71</v>
      </c>
      <c r="Q509">
        <v>12</v>
      </c>
      <c r="R509">
        <v>530</v>
      </c>
      <c r="S509">
        <v>4969.4399999999996</v>
      </c>
      <c r="T509" t="s">
        <v>45</v>
      </c>
    </row>
    <row r="510" spans="1:20" x14ac:dyDescent="0.35">
      <c r="A510" t="s">
        <v>1938</v>
      </c>
      <c r="B510" t="s">
        <v>467</v>
      </c>
      <c r="C510" t="s">
        <v>1939</v>
      </c>
      <c r="D510">
        <v>44729</v>
      </c>
      <c r="E510" t="s">
        <v>34</v>
      </c>
      <c r="F510">
        <v>5693.35</v>
      </c>
      <c r="G510">
        <v>29087.94</v>
      </c>
      <c r="H510" t="s">
        <v>100</v>
      </c>
      <c r="I510">
        <v>41</v>
      </c>
      <c r="J510" t="s">
        <v>42</v>
      </c>
      <c r="K510" t="s">
        <v>26</v>
      </c>
      <c r="L510" t="s">
        <v>1940</v>
      </c>
      <c r="M510" t="s">
        <v>28</v>
      </c>
      <c r="N510" t="s">
        <v>44</v>
      </c>
      <c r="O510">
        <v>4.09</v>
      </c>
      <c r="P510">
        <v>30371.15</v>
      </c>
      <c r="Q510">
        <v>27</v>
      </c>
      <c r="R510">
        <v>704</v>
      </c>
      <c r="S510">
        <v>7499.19</v>
      </c>
      <c r="T510" t="s">
        <v>63</v>
      </c>
    </row>
    <row r="511" spans="1:20" x14ac:dyDescent="0.35">
      <c r="A511" t="s">
        <v>1941</v>
      </c>
      <c r="B511" t="s">
        <v>1942</v>
      </c>
      <c r="C511" t="s">
        <v>1943</v>
      </c>
      <c r="D511">
        <v>45092</v>
      </c>
      <c r="E511" t="s">
        <v>56</v>
      </c>
      <c r="F511">
        <v>8678.83</v>
      </c>
      <c r="G511">
        <v>17544.82</v>
      </c>
      <c r="H511" t="s">
        <v>35</v>
      </c>
      <c r="I511">
        <v>57</v>
      </c>
      <c r="J511" t="s">
        <v>25</v>
      </c>
      <c r="K511" t="s">
        <v>36</v>
      </c>
      <c r="L511" t="s">
        <v>1322</v>
      </c>
      <c r="M511" t="s">
        <v>52</v>
      </c>
      <c r="N511" t="s">
        <v>62</v>
      </c>
      <c r="O511">
        <v>3.09</v>
      </c>
      <c r="P511">
        <v>14478.43</v>
      </c>
      <c r="Q511">
        <v>1</v>
      </c>
      <c r="R511">
        <v>468</v>
      </c>
      <c r="S511">
        <v>9245.49</v>
      </c>
      <c r="T511" t="s">
        <v>30</v>
      </c>
    </row>
    <row r="512" spans="1:20" x14ac:dyDescent="0.35">
      <c r="A512" t="s">
        <v>1944</v>
      </c>
      <c r="B512" t="s">
        <v>1945</v>
      </c>
      <c r="C512" t="s">
        <v>1946</v>
      </c>
      <c r="D512">
        <v>44754</v>
      </c>
      <c r="E512" t="s">
        <v>71</v>
      </c>
      <c r="F512">
        <v>5760.91</v>
      </c>
      <c r="G512">
        <v>49437.56</v>
      </c>
      <c r="H512" t="s">
        <v>100</v>
      </c>
      <c r="I512">
        <v>48</v>
      </c>
      <c r="J512" t="s">
        <v>42</v>
      </c>
      <c r="K512" t="s">
        <v>26</v>
      </c>
      <c r="L512" t="s">
        <v>1947</v>
      </c>
      <c r="M512" t="s">
        <v>38</v>
      </c>
      <c r="N512" t="s">
        <v>44</v>
      </c>
      <c r="O512">
        <v>1.63</v>
      </c>
      <c r="P512">
        <v>47698.06</v>
      </c>
      <c r="R512">
        <v>628</v>
      </c>
      <c r="S512">
        <v>13551.7</v>
      </c>
      <c r="T512" t="s">
        <v>45</v>
      </c>
    </row>
    <row r="513" spans="1:20" x14ac:dyDescent="0.35">
      <c r="A513" t="s">
        <v>1948</v>
      </c>
      <c r="B513" t="s">
        <v>1949</v>
      </c>
      <c r="C513" t="s">
        <v>1950</v>
      </c>
      <c r="D513">
        <v>45080</v>
      </c>
      <c r="E513" t="s">
        <v>34</v>
      </c>
      <c r="F513">
        <v>9081.2800000000007</v>
      </c>
      <c r="G513">
        <v>2236.63</v>
      </c>
      <c r="H513" t="s">
        <v>24</v>
      </c>
      <c r="I513">
        <v>64</v>
      </c>
      <c r="J513" t="s">
        <v>42</v>
      </c>
      <c r="K513" t="s">
        <v>50</v>
      </c>
      <c r="L513" t="s">
        <v>1951</v>
      </c>
      <c r="M513" t="s">
        <v>52</v>
      </c>
      <c r="N513" t="s">
        <v>29</v>
      </c>
      <c r="O513">
        <v>1.5</v>
      </c>
      <c r="R513">
        <v>725</v>
      </c>
      <c r="S513">
        <v>6238.92</v>
      </c>
      <c r="T513" t="s">
        <v>63</v>
      </c>
    </row>
    <row r="514" spans="1:20" x14ac:dyDescent="0.35">
      <c r="A514" t="s">
        <v>1952</v>
      </c>
      <c r="B514" t="s">
        <v>1953</v>
      </c>
      <c r="C514" t="s">
        <v>1954</v>
      </c>
      <c r="D514">
        <v>44800</v>
      </c>
      <c r="E514" t="s">
        <v>23</v>
      </c>
      <c r="F514">
        <v>9435.5400000000009</v>
      </c>
      <c r="G514">
        <v>13379.66</v>
      </c>
      <c r="H514" t="s">
        <v>125</v>
      </c>
      <c r="I514">
        <v>48</v>
      </c>
      <c r="J514" t="s">
        <v>42</v>
      </c>
      <c r="K514" t="s">
        <v>50</v>
      </c>
      <c r="L514" t="s">
        <v>1955</v>
      </c>
      <c r="M514" t="s">
        <v>38</v>
      </c>
      <c r="N514" t="s">
        <v>44</v>
      </c>
      <c r="O514">
        <v>1.75</v>
      </c>
      <c r="P514">
        <v>19634.95</v>
      </c>
      <c r="Q514">
        <v>17</v>
      </c>
      <c r="R514">
        <v>495</v>
      </c>
      <c r="S514">
        <v>3736.26</v>
      </c>
      <c r="T514" t="s">
        <v>45</v>
      </c>
    </row>
    <row r="515" spans="1:20" x14ac:dyDescent="0.35">
      <c r="A515" t="s">
        <v>1956</v>
      </c>
      <c r="B515" t="s">
        <v>1780</v>
      </c>
      <c r="C515" t="s">
        <v>1957</v>
      </c>
      <c r="D515">
        <v>44687</v>
      </c>
      <c r="E515" t="s">
        <v>71</v>
      </c>
      <c r="F515">
        <v>4281.6099999999997</v>
      </c>
      <c r="G515">
        <v>26483.63</v>
      </c>
      <c r="H515" t="s">
        <v>49</v>
      </c>
      <c r="I515">
        <v>64</v>
      </c>
      <c r="J515" t="s">
        <v>42</v>
      </c>
      <c r="K515" t="s">
        <v>36</v>
      </c>
      <c r="L515" t="s">
        <v>747</v>
      </c>
      <c r="M515" t="s">
        <v>28</v>
      </c>
      <c r="N515" t="s">
        <v>44</v>
      </c>
      <c r="O515">
        <v>2.4</v>
      </c>
      <c r="P515">
        <v>46552.31</v>
      </c>
      <c r="Q515">
        <v>2</v>
      </c>
      <c r="R515">
        <v>825</v>
      </c>
      <c r="S515">
        <v>8360.5400000000009</v>
      </c>
      <c r="T515" t="s">
        <v>30</v>
      </c>
    </row>
    <row r="516" spans="1:20" x14ac:dyDescent="0.35">
      <c r="A516" t="s">
        <v>1958</v>
      </c>
      <c r="B516" t="s">
        <v>1959</v>
      </c>
      <c r="C516" t="s">
        <v>1960</v>
      </c>
      <c r="D516">
        <v>44792</v>
      </c>
      <c r="E516" t="s">
        <v>71</v>
      </c>
      <c r="F516">
        <v>3835.41</v>
      </c>
      <c r="G516">
        <v>26575.7</v>
      </c>
      <c r="H516" t="s">
        <v>100</v>
      </c>
      <c r="I516">
        <v>57</v>
      </c>
      <c r="J516" t="s">
        <v>25</v>
      </c>
      <c r="K516" t="s">
        <v>50</v>
      </c>
      <c r="L516" t="s">
        <v>1961</v>
      </c>
      <c r="M516" t="s">
        <v>52</v>
      </c>
      <c r="N516" t="s">
        <v>62</v>
      </c>
      <c r="O516">
        <v>4.72</v>
      </c>
      <c r="P516">
        <v>23780.66</v>
      </c>
      <c r="Q516">
        <v>17</v>
      </c>
      <c r="R516">
        <v>376</v>
      </c>
      <c r="S516">
        <v>11707.38</v>
      </c>
      <c r="T516" t="s">
        <v>30</v>
      </c>
    </row>
    <row r="517" spans="1:20" x14ac:dyDescent="0.35">
      <c r="A517" t="s">
        <v>1962</v>
      </c>
      <c r="B517" t="s">
        <v>1963</v>
      </c>
      <c r="C517" t="s">
        <v>1964</v>
      </c>
      <c r="D517">
        <v>45157</v>
      </c>
      <c r="E517" t="s">
        <v>34</v>
      </c>
      <c r="F517">
        <v>9369.58</v>
      </c>
      <c r="G517">
        <v>29857.72</v>
      </c>
      <c r="H517" t="s">
        <v>49</v>
      </c>
      <c r="I517">
        <v>65</v>
      </c>
      <c r="J517" t="s">
        <v>42</v>
      </c>
      <c r="K517" t="s">
        <v>36</v>
      </c>
      <c r="L517" t="s">
        <v>1965</v>
      </c>
      <c r="M517" t="s">
        <v>52</v>
      </c>
      <c r="N517" t="s">
        <v>29</v>
      </c>
      <c r="O517">
        <v>4.2</v>
      </c>
      <c r="R517">
        <v>576</v>
      </c>
      <c r="S517">
        <v>3428.18</v>
      </c>
      <c r="T517" t="s">
        <v>63</v>
      </c>
    </row>
    <row r="518" spans="1:20" x14ac:dyDescent="0.35">
      <c r="A518" t="s">
        <v>1966</v>
      </c>
      <c r="B518" t="s">
        <v>1967</v>
      </c>
      <c r="C518" t="s">
        <v>1968</v>
      </c>
      <c r="D518">
        <v>45013</v>
      </c>
      <c r="E518" t="s">
        <v>34</v>
      </c>
      <c r="F518">
        <v>6783.89</v>
      </c>
      <c r="G518">
        <v>37832.129999999997</v>
      </c>
      <c r="H518" t="s">
        <v>35</v>
      </c>
      <c r="I518">
        <v>68</v>
      </c>
      <c r="J518" t="s">
        <v>25</v>
      </c>
      <c r="K518" t="s">
        <v>36</v>
      </c>
      <c r="L518" t="s">
        <v>1969</v>
      </c>
      <c r="M518" t="s">
        <v>38</v>
      </c>
      <c r="N518" t="s">
        <v>29</v>
      </c>
      <c r="O518">
        <v>2.73</v>
      </c>
      <c r="Q518">
        <v>26</v>
      </c>
      <c r="R518">
        <v>765</v>
      </c>
      <c r="S518">
        <v>7520.89</v>
      </c>
      <c r="T518" t="s">
        <v>30</v>
      </c>
    </row>
    <row r="519" spans="1:20" x14ac:dyDescent="0.35">
      <c r="A519" t="s">
        <v>1970</v>
      </c>
      <c r="B519" t="s">
        <v>1971</v>
      </c>
      <c r="C519" t="s">
        <v>1972</v>
      </c>
      <c r="D519">
        <v>45028</v>
      </c>
      <c r="E519" t="s">
        <v>71</v>
      </c>
      <c r="F519">
        <v>1248.6199999999999</v>
      </c>
      <c r="G519">
        <v>31550.41</v>
      </c>
      <c r="H519" t="s">
        <v>125</v>
      </c>
      <c r="I519">
        <v>60</v>
      </c>
      <c r="J519" t="s">
        <v>25</v>
      </c>
      <c r="K519" t="s">
        <v>36</v>
      </c>
      <c r="L519" t="s">
        <v>1973</v>
      </c>
      <c r="M519" t="s">
        <v>38</v>
      </c>
      <c r="N519" t="s">
        <v>62</v>
      </c>
      <c r="O519">
        <v>2.97</v>
      </c>
      <c r="P519">
        <v>18785.509999999998</v>
      </c>
      <c r="Q519">
        <v>9</v>
      </c>
      <c r="R519">
        <v>747</v>
      </c>
      <c r="S519">
        <v>2231.21</v>
      </c>
      <c r="T519" t="s">
        <v>63</v>
      </c>
    </row>
    <row r="520" spans="1:20" x14ac:dyDescent="0.35">
      <c r="A520" t="s">
        <v>1974</v>
      </c>
      <c r="B520" t="s">
        <v>1975</v>
      </c>
      <c r="C520" t="s">
        <v>1976</v>
      </c>
      <c r="D520">
        <v>44743</v>
      </c>
      <c r="E520" t="s">
        <v>71</v>
      </c>
      <c r="F520">
        <v>518.69000000000005</v>
      </c>
      <c r="G520">
        <v>30413.79</v>
      </c>
      <c r="H520" t="s">
        <v>125</v>
      </c>
      <c r="I520">
        <v>51</v>
      </c>
      <c r="J520" t="s">
        <v>25</v>
      </c>
      <c r="K520" t="s">
        <v>36</v>
      </c>
      <c r="L520" t="s">
        <v>1977</v>
      </c>
      <c r="M520" t="s">
        <v>38</v>
      </c>
      <c r="N520" t="s">
        <v>29</v>
      </c>
      <c r="O520">
        <v>2.06</v>
      </c>
      <c r="P520">
        <v>34978.68</v>
      </c>
      <c r="R520">
        <v>619</v>
      </c>
      <c r="S520">
        <v>2436.27</v>
      </c>
      <c r="T520" t="s">
        <v>45</v>
      </c>
    </row>
    <row r="521" spans="1:20" x14ac:dyDescent="0.35">
      <c r="A521" t="s">
        <v>1978</v>
      </c>
      <c r="B521" t="s">
        <v>1979</v>
      </c>
      <c r="C521" t="s">
        <v>1980</v>
      </c>
      <c r="D521">
        <v>45105</v>
      </c>
      <c r="E521" t="s">
        <v>56</v>
      </c>
      <c r="F521">
        <v>5689.83</v>
      </c>
      <c r="G521">
        <v>3622.21</v>
      </c>
      <c r="H521" t="s">
        <v>100</v>
      </c>
      <c r="I521">
        <v>41</v>
      </c>
      <c r="J521" t="s">
        <v>25</v>
      </c>
      <c r="K521" t="s">
        <v>36</v>
      </c>
      <c r="L521" t="s">
        <v>174</v>
      </c>
      <c r="M521" t="s">
        <v>28</v>
      </c>
      <c r="N521" t="s">
        <v>29</v>
      </c>
      <c r="O521">
        <v>3.82</v>
      </c>
      <c r="Q521">
        <v>4</v>
      </c>
      <c r="R521">
        <v>459</v>
      </c>
      <c r="S521">
        <v>8278.39</v>
      </c>
      <c r="T521" t="s">
        <v>30</v>
      </c>
    </row>
    <row r="522" spans="1:20" x14ac:dyDescent="0.35">
      <c r="A522" t="s">
        <v>1981</v>
      </c>
      <c r="B522" t="s">
        <v>1982</v>
      </c>
      <c r="C522" t="s">
        <v>1983</v>
      </c>
      <c r="D522">
        <v>44901</v>
      </c>
      <c r="E522" t="s">
        <v>23</v>
      </c>
      <c r="F522">
        <v>9308.69</v>
      </c>
      <c r="G522">
        <v>19449.98</v>
      </c>
      <c r="H522" t="s">
        <v>125</v>
      </c>
      <c r="I522">
        <v>66</v>
      </c>
      <c r="J522" t="s">
        <v>42</v>
      </c>
      <c r="K522" t="s">
        <v>26</v>
      </c>
      <c r="L522" t="s">
        <v>351</v>
      </c>
      <c r="M522" t="s">
        <v>52</v>
      </c>
      <c r="N522" t="s">
        <v>29</v>
      </c>
      <c r="O522">
        <v>4.21</v>
      </c>
      <c r="R522">
        <v>791</v>
      </c>
      <c r="S522">
        <v>5876.56</v>
      </c>
      <c r="T522" t="s">
        <v>45</v>
      </c>
    </row>
    <row r="523" spans="1:20" x14ac:dyDescent="0.35">
      <c r="A523" t="s">
        <v>1984</v>
      </c>
      <c r="B523" t="s">
        <v>1985</v>
      </c>
      <c r="C523" t="s">
        <v>1986</v>
      </c>
      <c r="D523">
        <v>45146</v>
      </c>
      <c r="E523" t="s">
        <v>56</v>
      </c>
      <c r="F523">
        <v>8458.06</v>
      </c>
      <c r="G523">
        <v>12370.73</v>
      </c>
      <c r="H523" t="s">
        <v>100</v>
      </c>
      <c r="I523">
        <v>43</v>
      </c>
      <c r="J523" t="s">
        <v>42</v>
      </c>
      <c r="K523" t="s">
        <v>36</v>
      </c>
      <c r="L523" t="s">
        <v>1987</v>
      </c>
      <c r="M523" t="s">
        <v>38</v>
      </c>
      <c r="N523" t="s">
        <v>62</v>
      </c>
      <c r="O523">
        <v>1.96</v>
      </c>
      <c r="P523">
        <v>46871.49</v>
      </c>
      <c r="R523">
        <v>612</v>
      </c>
      <c r="S523">
        <v>12986.39</v>
      </c>
      <c r="T523" t="s">
        <v>45</v>
      </c>
    </row>
    <row r="524" spans="1:20" x14ac:dyDescent="0.35">
      <c r="A524" t="s">
        <v>1988</v>
      </c>
      <c r="B524" t="s">
        <v>1989</v>
      </c>
      <c r="C524" t="s">
        <v>1990</v>
      </c>
      <c r="D524">
        <v>44971</v>
      </c>
      <c r="E524" t="s">
        <v>34</v>
      </c>
      <c r="F524">
        <v>6790.89</v>
      </c>
      <c r="G524">
        <v>14003.14</v>
      </c>
      <c r="H524" t="s">
        <v>100</v>
      </c>
      <c r="I524">
        <v>33</v>
      </c>
      <c r="J524" t="s">
        <v>25</v>
      </c>
      <c r="K524" t="s">
        <v>26</v>
      </c>
      <c r="L524" t="s">
        <v>1991</v>
      </c>
      <c r="M524" t="s">
        <v>28</v>
      </c>
      <c r="N524" t="s">
        <v>29</v>
      </c>
      <c r="O524">
        <v>1.17</v>
      </c>
      <c r="Q524">
        <v>7</v>
      </c>
      <c r="R524">
        <v>460</v>
      </c>
      <c r="S524">
        <v>9828.01</v>
      </c>
      <c r="T524" t="s">
        <v>30</v>
      </c>
    </row>
    <row r="525" spans="1:20" x14ac:dyDescent="0.35">
      <c r="A525" t="s">
        <v>1992</v>
      </c>
      <c r="B525" t="s">
        <v>1993</v>
      </c>
      <c r="C525" t="s">
        <v>1994</v>
      </c>
      <c r="D525">
        <v>44877</v>
      </c>
      <c r="E525" t="s">
        <v>56</v>
      </c>
      <c r="F525">
        <v>1477.25</v>
      </c>
      <c r="G525">
        <v>28162.54</v>
      </c>
      <c r="H525" t="s">
        <v>49</v>
      </c>
      <c r="I525">
        <v>64</v>
      </c>
      <c r="J525" t="s">
        <v>42</v>
      </c>
      <c r="K525" t="s">
        <v>50</v>
      </c>
      <c r="L525" t="s">
        <v>1995</v>
      </c>
      <c r="M525" t="s">
        <v>38</v>
      </c>
      <c r="N525" t="s">
        <v>44</v>
      </c>
      <c r="O525">
        <v>3.5</v>
      </c>
      <c r="P525">
        <v>41045.370000000003</v>
      </c>
      <c r="Q525">
        <v>14</v>
      </c>
      <c r="R525">
        <v>607</v>
      </c>
      <c r="S525">
        <v>7901.13</v>
      </c>
      <c r="T525" t="s">
        <v>45</v>
      </c>
    </row>
    <row r="526" spans="1:20" x14ac:dyDescent="0.35">
      <c r="A526" t="s">
        <v>1996</v>
      </c>
      <c r="B526" t="s">
        <v>1997</v>
      </c>
      <c r="C526" t="s">
        <v>1998</v>
      </c>
      <c r="D526">
        <v>44747</v>
      </c>
      <c r="E526" t="s">
        <v>56</v>
      </c>
      <c r="F526">
        <v>2616.89</v>
      </c>
      <c r="G526">
        <v>10775.76</v>
      </c>
      <c r="H526" t="s">
        <v>125</v>
      </c>
      <c r="I526">
        <v>30</v>
      </c>
      <c r="J526" t="s">
        <v>25</v>
      </c>
      <c r="K526" t="s">
        <v>36</v>
      </c>
      <c r="L526" t="s">
        <v>1999</v>
      </c>
      <c r="M526" t="s">
        <v>52</v>
      </c>
      <c r="N526" t="s">
        <v>44</v>
      </c>
      <c r="O526">
        <v>3.25</v>
      </c>
      <c r="Q526">
        <v>27</v>
      </c>
      <c r="R526">
        <v>445</v>
      </c>
      <c r="S526">
        <v>7303.16</v>
      </c>
      <c r="T526" t="s">
        <v>63</v>
      </c>
    </row>
    <row r="527" spans="1:20" x14ac:dyDescent="0.35">
      <c r="A527" t="s">
        <v>2000</v>
      </c>
      <c r="B527" t="s">
        <v>2001</v>
      </c>
      <c r="C527" t="s">
        <v>2002</v>
      </c>
      <c r="D527">
        <v>44895</v>
      </c>
      <c r="E527" t="s">
        <v>56</v>
      </c>
      <c r="F527">
        <v>8767.56</v>
      </c>
      <c r="G527">
        <v>15403.51</v>
      </c>
      <c r="H527" t="s">
        <v>100</v>
      </c>
      <c r="I527">
        <v>32</v>
      </c>
      <c r="J527" t="s">
        <v>42</v>
      </c>
      <c r="K527" t="s">
        <v>50</v>
      </c>
      <c r="L527" t="s">
        <v>2003</v>
      </c>
      <c r="M527" t="s">
        <v>38</v>
      </c>
      <c r="N527" t="s">
        <v>29</v>
      </c>
      <c r="O527">
        <v>2.61</v>
      </c>
      <c r="P527">
        <v>14548.12</v>
      </c>
      <c r="R527">
        <v>695</v>
      </c>
      <c r="S527">
        <v>8464.19</v>
      </c>
      <c r="T527" t="s">
        <v>63</v>
      </c>
    </row>
    <row r="528" spans="1:20" x14ac:dyDescent="0.35">
      <c r="A528" t="s">
        <v>2004</v>
      </c>
      <c r="B528" t="s">
        <v>2005</v>
      </c>
      <c r="C528" t="s">
        <v>2006</v>
      </c>
      <c r="D528">
        <v>44601</v>
      </c>
      <c r="E528" t="s">
        <v>56</v>
      </c>
      <c r="F528">
        <v>1909.79</v>
      </c>
      <c r="G528">
        <v>12617.15</v>
      </c>
      <c r="H528" t="s">
        <v>49</v>
      </c>
      <c r="I528">
        <v>44</v>
      </c>
      <c r="J528" t="s">
        <v>42</v>
      </c>
      <c r="K528" t="s">
        <v>36</v>
      </c>
      <c r="L528" t="s">
        <v>664</v>
      </c>
      <c r="M528" t="s">
        <v>52</v>
      </c>
      <c r="N528" t="s">
        <v>62</v>
      </c>
      <c r="O528">
        <v>3.58</v>
      </c>
      <c r="P528">
        <v>46005.59</v>
      </c>
      <c r="R528">
        <v>388</v>
      </c>
      <c r="S528">
        <v>2525.6999999999998</v>
      </c>
      <c r="T528" t="s">
        <v>63</v>
      </c>
    </row>
    <row r="529" spans="1:20" x14ac:dyDescent="0.35">
      <c r="A529" t="s">
        <v>2007</v>
      </c>
      <c r="B529" t="s">
        <v>2008</v>
      </c>
      <c r="C529" t="s">
        <v>2009</v>
      </c>
      <c r="D529">
        <v>44762</v>
      </c>
      <c r="E529" t="s">
        <v>23</v>
      </c>
      <c r="F529">
        <v>2856.55</v>
      </c>
      <c r="G529">
        <v>47476.639999999999</v>
      </c>
      <c r="H529" t="s">
        <v>24</v>
      </c>
      <c r="I529">
        <v>21</v>
      </c>
      <c r="J529" t="s">
        <v>42</v>
      </c>
      <c r="K529" t="s">
        <v>26</v>
      </c>
      <c r="L529" t="s">
        <v>2010</v>
      </c>
      <c r="M529" t="s">
        <v>28</v>
      </c>
      <c r="N529" t="s">
        <v>62</v>
      </c>
      <c r="O529">
        <v>3.2</v>
      </c>
      <c r="R529">
        <v>607</v>
      </c>
      <c r="S529">
        <v>13606.31</v>
      </c>
      <c r="T529" t="s">
        <v>30</v>
      </c>
    </row>
    <row r="530" spans="1:20" x14ac:dyDescent="0.35">
      <c r="A530" t="s">
        <v>2011</v>
      </c>
      <c r="B530" t="s">
        <v>483</v>
      </c>
      <c r="C530" t="s">
        <v>2012</v>
      </c>
      <c r="D530">
        <v>44817</v>
      </c>
      <c r="E530" t="s">
        <v>23</v>
      </c>
      <c r="F530">
        <v>1383.05</v>
      </c>
      <c r="G530">
        <v>47288.62</v>
      </c>
      <c r="H530" t="s">
        <v>49</v>
      </c>
      <c r="I530">
        <v>33</v>
      </c>
      <c r="J530" t="s">
        <v>25</v>
      </c>
      <c r="K530" t="s">
        <v>26</v>
      </c>
      <c r="L530" t="s">
        <v>2013</v>
      </c>
      <c r="M530" t="s">
        <v>28</v>
      </c>
      <c r="N530" t="s">
        <v>62</v>
      </c>
      <c r="O530">
        <v>2</v>
      </c>
      <c r="P530">
        <v>27390.880000000001</v>
      </c>
      <c r="Q530">
        <v>1</v>
      </c>
      <c r="R530">
        <v>845</v>
      </c>
      <c r="S530">
        <v>14977.94</v>
      </c>
      <c r="T530" t="s">
        <v>45</v>
      </c>
    </row>
    <row r="531" spans="1:20" x14ac:dyDescent="0.35">
      <c r="A531" t="s">
        <v>2014</v>
      </c>
      <c r="B531" t="s">
        <v>2015</v>
      </c>
      <c r="C531" t="s">
        <v>2016</v>
      </c>
      <c r="D531">
        <v>44620</v>
      </c>
      <c r="E531" t="s">
        <v>71</v>
      </c>
      <c r="F531">
        <v>6793.47</v>
      </c>
      <c r="G531">
        <v>30887.14</v>
      </c>
      <c r="H531" t="s">
        <v>49</v>
      </c>
      <c r="I531">
        <v>47</v>
      </c>
      <c r="J531" t="s">
        <v>25</v>
      </c>
      <c r="K531" t="s">
        <v>26</v>
      </c>
      <c r="L531" t="s">
        <v>2017</v>
      </c>
      <c r="M531" t="s">
        <v>38</v>
      </c>
      <c r="N531" t="s">
        <v>29</v>
      </c>
      <c r="O531">
        <v>2.59</v>
      </c>
      <c r="Q531">
        <v>20</v>
      </c>
      <c r="R531">
        <v>670</v>
      </c>
      <c r="S531">
        <v>4359.33</v>
      </c>
      <c r="T531" t="s">
        <v>45</v>
      </c>
    </row>
    <row r="532" spans="1:20" x14ac:dyDescent="0.35">
      <c r="A532" t="s">
        <v>2018</v>
      </c>
      <c r="B532" t="s">
        <v>2019</v>
      </c>
      <c r="C532" t="s">
        <v>2020</v>
      </c>
      <c r="D532">
        <v>44785</v>
      </c>
      <c r="E532" t="s">
        <v>34</v>
      </c>
      <c r="F532">
        <v>9445.42</v>
      </c>
      <c r="G532">
        <v>46301.599999999999</v>
      </c>
      <c r="H532" t="s">
        <v>100</v>
      </c>
      <c r="I532">
        <v>61</v>
      </c>
      <c r="J532" t="s">
        <v>42</v>
      </c>
      <c r="K532" t="s">
        <v>50</v>
      </c>
      <c r="L532" t="s">
        <v>2021</v>
      </c>
      <c r="M532" t="s">
        <v>52</v>
      </c>
      <c r="N532" t="s">
        <v>29</v>
      </c>
      <c r="O532">
        <v>2.71</v>
      </c>
      <c r="Q532">
        <v>4</v>
      </c>
      <c r="R532">
        <v>750</v>
      </c>
      <c r="S532">
        <v>3564.98</v>
      </c>
      <c r="T532" t="s">
        <v>45</v>
      </c>
    </row>
    <row r="533" spans="1:20" x14ac:dyDescent="0.35">
      <c r="A533" t="s">
        <v>2022</v>
      </c>
      <c r="B533" t="s">
        <v>2023</v>
      </c>
      <c r="C533" t="s">
        <v>2024</v>
      </c>
      <c r="D533">
        <v>44862</v>
      </c>
      <c r="E533" t="s">
        <v>56</v>
      </c>
      <c r="F533">
        <v>2762.78</v>
      </c>
      <c r="G533">
        <v>39504.82</v>
      </c>
      <c r="H533" t="s">
        <v>35</v>
      </c>
      <c r="I533">
        <v>47</v>
      </c>
      <c r="J533" t="s">
        <v>25</v>
      </c>
      <c r="K533" t="s">
        <v>36</v>
      </c>
      <c r="L533" t="s">
        <v>465</v>
      </c>
      <c r="M533" t="s">
        <v>52</v>
      </c>
      <c r="N533" t="s">
        <v>44</v>
      </c>
      <c r="O533">
        <v>4.5199999999999996</v>
      </c>
      <c r="Q533">
        <v>1</v>
      </c>
      <c r="R533">
        <v>466</v>
      </c>
      <c r="S533">
        <v>3866.51</v>
      </c>
      <c r="T533" t="s">
        <v>45</v>
      </c>
    </row>
    <row r="534" spans="1:20" x14ac:dyDescent="0.35">
      <c r="A534" t="s">
        <v>2025</v>
      </c>
      <c r="B534" t="s">
        <v>2026</v>
      </c>
      <c r="C534" t="s">
        <v>2027</v>
      </c>
      <c r="D534">
        <v>44874</v>
      </c>
      <c r="E534" t="s">
        <v>71</v>
      </c>
      <c r="F534">
        <v>4806.53</v>
      </c>
      <c r="G534">
        <v>29907.45</v>
      </c>
      <c r="H534" t="s">
        <v>35</v>
      </c>
      <c r="I534">
        <v>53</v>
      </c>
      <c r="J534" t="s">
        <v>25</v>
      </c>
      <c r="K534" t="s">
        <v>50</v>
      </c>
      <c r="L534" t="s">
        <v>1803</v>
      </c>
      <c r="M534" t="s">
        <v>52</v>
      </c>
      <c r="N534" t="s">
        <v>62</v>
      </c>
      <c r="O534">
        <v>4.84</v>
      </c>
      <c r="P534">
        <v>6069.95</v>
      </c>
      <c r="Q534">
        <v>22</v>
      </c>
      <c r="R534">
        <v>691</v>
      </c>
      <c r="S534">
        <v>10593.35</v>
      </c>
      <c r="T534" t="s">
        <v>63</v>
      </c>
    </row>
    <row r="535" spans="1:20" x14ac:dyDescent="0.35">
      <c r="A535" t="s">
        <v>2028</v>
      </c>
      <c r="B535" t="s">
        <v>2029</v>
      </c>
      <c r="C535" t="s">
        <v>2030</v>
      </c>
      <c r="D535">
        <v>44840</v>
      </c>
      <c r="E535" t="s">
        <v>71</v>
      </c>
      <c r="F535">
        <v>6379.96</v>
      </c>
      <c r="G535">
        <v>1315.33</v>
      </c>
      <c r="H535" t="s">
        <v>35</v>
      </c>
      <c r="I535">
        <v>20</v>
      </c>
      <c r="J535" t="s">
        <v>42</v>
      </c>
      <c r="K535" t="s">
        <v>26</v>
      </c>
      <c r="L535" t="s">
        <v>2031</v>
      </c>
      <c r="M535" t="s">
        <v>38</v>
      </c>
      <c r="N535" t="s">
        <v>44</v>
      </c>
      <c r="O535">
        <v>4.57</v>
      </c>
      <c r="P535">
        <v>22861.040000000001</v>
      </c>
      <c r="Q535">
        <v>10</v>
      </c>
      <c r="R535">
        <v>790</v>
      </c>
      <c r="S535">
        <v>10598.73</v>
      </c>
      <c r="T535" t="s">
        <v>30</v>
      </c>
    </row>
    <row r="536" spans="1:20" x14ac:dyDescent="0.35">
      <c r="A536" t="s">
        <v>2032</v>
      </c>
      <c r="B536" t="s">
        <v>2033</v>
      </c>
      <c r="C536" t="s">
        <v>2034</v>
      </c>
      <c r="D536">
        <v>44874</v>
      </c>
      <c r="E536" t="s">
        <v>71</v>
      </c>
      <c r="F536">
        <v>9994.7199999999993</v>
      </c>
      <c r="G536">
        <v>38853.300000000003</v>
      </c>
      <c r="H536" t="s">
        <v>49</v>
      </c>
      <c r="I536">
        <v>39</v>
      </c>
      <c r="J536" t="s">
        <v>25</v>
      </c>
      <c r="K536" t="s">
        <v>50</v>
      </c>
      <c r="L536" t="s">
        <v>2035</v>
      </c>
      <c r="M536" t="s">
        <v>52</v>
      </c>
      <c r="N536" t="s">
        <v>44</v>
      </c>
      <c r="O536">
        <v>3.88</v>
      </c>
      <c r="P536">
        <v>18651.650000000001</v>
      </c>
      <c r="R536">
        <v>449</v>
      </c>
      <c r="S536">
        <v>13023.01</v>
      </c>
      <c r="T536" t="s">
        <v>63</v>
      </c>
    </row>
    <row r="537" spans="1:20" x14ac:dyDescent="0.35">
      <c r="A537" t="s">
        <v>2036</v>
      </c>
      <c r="B537" t="s">
        <v>2037</v>
      </c>
      <c r="C537" t="s">
        <v>2038</v>
      </c>
      <c r="D537">
        <v>44780</v>
      </c>
      <c r="E537" t="s">
        <v>23</v>
      </c>
      <c r="F537">
        <v>1137.5999999999999</v>
      </c>
      <c r="G537">
        <v>35421.93</v>
      </c>
      <c r="H537" t="s">
        <v>100</v>
      </c>
      <c r="I537">
        <v>66</v>
      </c>
      <c r="J537" t="s">
        <v>42</v>
      </c>
      <c r="K537" t="s">
        <v>26</v>
      </c>
      <c r="L537" t="s">
        <v>2039</v>
      </c>
      <c r="M537" t="s">
        <v>52</v>
      </c>
      <c r="N537" t="s">
        <v>62</v>
      </c>
      <c r="O537">
        <v>3.34</v>
      </c>
      <c r="R537">
        <v>767</v>
      </c>
      <c r="S537">
        <v>11773.74</v>
      </c>
      <c r="T537" t="s">
        <v>63</v>
      </c>
    </row>
    <row r="538" spans="1:20" x14ac:dyDescent="0.35">
      <c r="A538" t="s">
        <v>2040</v>
      </c>
      <c r="B538" t="s">
        <v>2041</v>
      </c>
      <c r="C538" t="s">
        <v>2042</v>
      </c>
      <c r="D538">
        <v>44621</v>
      </c>
      <c r="E538" t="s">
        <v>56</v>
      </c>
      <c r="F538">
        <v>5035.8500000000004</v>
      </c>
      <c r="G538">
        <v>31147.43</v>
      </c>
      <c r="H538" t="s">
        <v>125</v>
      </c>
      <c r="I538">
        <v>39</v>
      </c>
      <c r="J538" t="s">
        <v>42</v>
      </c>
      <c r="K538" t="s">
        <v>26</v>
      </c>
      <c r="L538" t="s">
        <v>406</v>
      </c>
      <c r="M538" t="s">
        <v>52</v>
      </c>
      <c r="N538" t="s">
        <v>29</v>
      </c>
      <c r="O538">
        <v>3.76</v>
      </c>
      <c r="P538">
        <v>7501.04</v>
      </c>
      <c r="R538">
        <v>342</v>
      </c>
      <c r="S538">
        <v>7845.97</v>
      </c>
      <c r="T538" t="s">
        <v>30</v>
      </c>
    </row>
    <row r="539" spans="1:20" x14ac:dyDescent="0.35">
      <c r="A539" t="s">
        <v>2043</v>
      </c>
      <c r="B539" t="s">
        <v>2044</v>
      </c>
      <c r="C539" t="s">
        <v>2045</v>
      </c>
      <c r="D539">
        <v>45114</v>
      </c>
      <c r="E539" t="s">
        <v>56</v>
      </c>
      <c r="F539">
        <v>3912.69</v>
      </c>
      <c r="G539">
        <v>38260.79</v>
      </c>
      <c r="H539" t="s">
        <v>49</v>
      </c>
      <c r="I539">
        <v>67</v>
      </c>
      <c r="J539" t="s">
        <v>42</v>
      </c>
      <c r="K539" t="s">
        <v>26</v>
      </c>
      <c r="L539" t="s">
        <v>1520</v>
      </c>
      <c r="M539" t="s">
        <v>52</v>
      </c>
      <c r="N539" t="s">
        <v>29</v>
      </c>
      <c r="O539">
        <v>4.76</v>
      </c>
      <c r="P539">
        <v>26992.91</v>
      </c>
      <c r="Q539">
        <v>24</v>
      </c>
      <c r="R539">
        <v>328</v>
      </c>
      <c r="S539">
        <v>9967.1200000000008</v>
      </c>
      <c r="T539" t="s">
        <v>30</v>
      </c>
    </row>
    <row r="540" spans="1:20" x14ac:dyDescent="0.35">
      <c r="A540" t="s">
        <v>2046</v>
      </c>
      <c r="B540" t="s">
        <v>2047</v>
      </c>
      <c r="C540" t="s">
        <v>2048</v>
      </c>
      <c r="D540">
        <v>44638</v>
      </c>
      <c r="E540" t="s">
        <v>34</v>
      </c>
      <c r="F540">
        <v>8671.6200000000008</v>
      </c>
      <c r="G540">
        <v>26133.19</v>
      </c>
      <c r="H540" t="s">
        <v>49</v>
      </c>
      <c r="I540">
        <v>67</v>
      </c>
      <c r="J540" t="s">
        <v>25</v>
      </c>
      <c r="K540" t="s">
        <v>36</v>
      </c>
      <c r="L540" t="s">
        <v>1649</v>
      </c>
      <c r="M540" t="s">
        <v>38</v>
      </c>
      <c r="N540" t="s">
        <v>44</v>
      </c>
      <c r="O540">
        <v>2</v>
      </c>
      <c r="P540">
        <v>31060.14</v>
      </c>
      <c r="R540">
        <v>330</v>
      </c>
      <c r="S540">
        <v>10947.7</v>
      </c>
      <c r="T540" t="s">
        <v>63</v>
      </c>
    </row>
    <row r="541" spans="1:20" x14ac:dyDescent="0.35">
      <c r="A541" t="s">
        <v>2049</v>
      </c>
      <c r="B541" t="s">
        <v>2050</v>
      </c>
      <c r="C541" t="s">
        <v>2051</v>
      </c>
      <c r="D541">
        <v>44880</v>
      </c>
      <c r="E541" t="s">
        <v>56</v>
      </c>
      <c r="F541">
        <v>4812.08</v>
      </c>
      <c r="G541">
        <v>35500.080000000002</v>
      </c>
      <c r="H541" t="s">
        <v>100</v>
      </c>
      <c r="I541">
        <v>66</v>
      </c>
      <c r="J541" t="s">
        <v>42</v>
      </c>
      <c r="K541" t="s">
        <v>36</v>
      </c>
      <c r="L541" t="s">
        <v>233</v>
      </c>
      <c r="M541" t="s">
        <v>38</v>
      </c>
      <c r="N541" t="s">
        <v>44</v>
      </c>
      <c r="O541">
        <v>3.14</v>
      </c>
      <c r="P541">
        <v>32778.1</v>
      </c>
      <c r="R541">
        <v>427</v>
      </c>
      <c r="S541">
        <v>8665.57</v>
      </c>
      <c r="T541" t="s">
        <v>45</v>
      </c>
    </row>
    <row r="542" spans="1:20" x14ac:dyDescent="0.35">
      <c r="A542" t="s">
        <v>2052</v>
      </c>
      <c r="B542" t="s">
        <v>2053</v>
      </c>
      <c r="C542" t="s">
        <v>2054</v>
      </c>
      <c r="D542">
        <v>45126</v>
      </c>
      <c r="E542" t="s">
        <v>56</v>
      </c>
      <c r="F542">
        <v>1198.68</v>
      </c>
      <c r="G542">
        <v>46823.43</v>
      </c>
      <c r="H542" t="s">
        <v>24</v>
      </c>
      <c r="I542">
        <v>29</v>
      </c>
      <c r="J542" t="s">
        <v>42</v>
      </c>
      <c r="K542" t="s">
        <v>26</v>
      </c>
      <c r="L542" t="s">
        <v>2055</v>
      </c>
      <c r="M542" t="s">
        <v>52</v>
      </c>
      <c r="N542" t="s">
        <v>44</v>
      </c>
      <c r="O542">
        <v>3.76</v>
      </c>
      <c r="R542">
        <v>593</v>
      </c>
      <c r="S542">
        <v>8183.46</v>
      </c>
      <c r="T542" t="s">
        <v>30</v>
      </c>
    </row>
    <row r="543" spans="1:20" x14ac:dyDescent="0.35">
      <c r="A543" t="s">
        <v>2056</v>
      </c>
      <c r="B543" t="s">
        <v>2057</v>
      </c>
      <c r="C543" t="s">
        <v>2058</v>
      </c>
      <c r="D543">
        <v>44779</v>
      </c>
      <c r="E543" t="s">
        <v>71</v>
      </c>
      <c r="F543">
        <v>6380.8</v>
      </c>
      <c r="G543">
        <v>19414.45</v>
      </c>
      <c r="H543" t="s">
        <v>49</v>
      </c>
      <c r="I543">
        <v>38</v>
      </c>
      <c r="J543" t="s">
        <v>25</v>
      </c>
      <c r="K543" t="s">
        <v>50</v>
      </c>
      <c r="L543" t="s">
        <v>2059</v>
      </c>
      <c r="M543" t="s">
        <v>52</v>
      </c>
      <c r="N543" t="s">
        <v>44</v>
      </c>
      <c r="O543">
        <v>3.72</v>
      </c>
      <c r="P543">
        <v>18696.55</v>
      </c>
      <c r="Q543">
        <v>23</v>
      </c>
      <c r="R543">
        <v>740</v>
      </c>
      <c r="S543">
        <v>10386.27</v>
      </c>
      <c r="T543" t="s">
        <v>30</v>
      </c>
    </row>
    <row r="544" spans="1:20" x14ac:dyDescent="0.35">
      <c r="A544" t="s">
        <v>2060</v>
      </c>
      <c r="B544" t="s">
        <v>2061</v>
      </c>
      <c r="C544" t="s">
        <v>2062</v>
      </c>
      <c r="D544">
        <v>45112</v>
      </c>
      <c r="E544" t="s">
        <v>34</v>
      </c>
      <c r="F544">
        <v>7730.73</v>
      </c>
      <c r="G544">
        <v>35697.97</v>
      </c>
      <c r="H544" t="s">
        <v>24</v>
      </c>
      <c r="I544">
        <v>21</v>
      </c>
      <c r="J544" t="s">
        <v>25</v>
      </c>
      <c r="K544" t="s">
        <v>50</v>
      </c>
      <c r="L544" t="s">
        <v>2063</v>
      </c>
      <c r="M544" t="s">
        <v>28</v>
      </c>
      <c r="N544" t="s">
        <v>62</v>
      </c>
      <c r="O544">
        <v>2.0099999999999998</v>
      </c>
      <c r="Q544">
        <v>9</v>
      </c>
      <c r="R544">
        <v>687</v>
      </c>
      <c r="S544">
        <v>9247.17</v>
      </c>
      <c r="T544" t="s">
        <v>63</v>
      </c>
    </row>
    <row r="545" spans="1:20" x14ac:dyDescent="0.35">
      <c r="A545" t="s">
        <v>2064</v>
      </c>
      <c r="B545" t="s">
        <v>2065</v>
      </c>
      <c r="C545" t="s">
        <v>2066</v>
      </c>
      <c r="D545">
        <v>44933</v>
      </c>
      <c r="E545" t="s">
        <v>56</v>
      </c>
      <c r="F545">
        <v>128.52000000000001</v>
      </c>
      <c r="G545">
        <v>24308.7</v>
      </c>
      <c r="H545" t="s">
        <v>24</v>
      </c>
      <c r="I545">
        <v>48</v>
      </c>
      <c r="J545" t="s">
        <v>25</v>
      </c>
      <c r="K545" t="s">
        <v>36</v>
      </c>
      <c r="L545" t="s">
        <v>2067</v>
      </c>
      <c r="M545" t="s">
        <v>28</v>
      </c>
      <c r="N545" t="s">
        <v>44</v>
      </c>
      <c r="O545">
        <v>3.35</v>
      </c>
      <c r="R545">
        <v>823</v>
      </c>
      <c r="S545">
        <v>10371.25</v>
      </c>
      <c r="T545" t="s">
        <v>45</v>
      </c>
    </row>
    <row r="546" spans="1:20" x14ac:dyDescent="0.35">
      <c r="A546" t="s">
        <v>2068</v>
      </c>
      <c r="B546" t="s">
        <v>2069</v>
      </c>
      <c r="C546" t="s">
        <v>2070</v>
      </c>
      <c r="D546">
        <v>44700</v>
      </c>
      <c r="E546" t="s">
        <v>23</v>
      </c>
      <c r="F546">
        <v>8603.67</v>
      </c>
      <c r="G546">
        <v>34045.58</v>
      </c>
      <c r="H546" t="s">
        <v>35</v>
      </c>
      <c r="I546">
        <v>61</v>
      </c>
      <c r="J546" t="s">
        <v>25</v>
      </c>
      <c r="K546" t="s">
        <v>26</v>
      </c>
      <c r="L546" t="s">
        <v>117</v>
      </c>
      <c r="M546" t="s">
        <v>52</v>
      </c>
      <c r="N546" t="s">
        <v>44</v>
      </c>
      <c r="O546">
        <v>4.18</v>
      </c>
      <c r="Q546">
        <v>21</v>
      </c>
      <c r="R546">
        <v>846</v>
      </c>
      <c r="S546">
        <v>9967.11</v>
      </c>
      <c r="T546" t="s">
        <v>30</v>
      </c>
    </row>
    <row r="547" spans="1:20" x14ac:dyDescent="0.35">
      <c r="A547" t="s">
        <v>2071</v>
      </c>
      <c r="B547" t="s">
        <v>2072</v>
      </c>
      <c r="C547" t="s">
        <v>2073</v>
      </c>
      <c r="D547">
        <v>44937</v>
      </c>
      <c r="E547" t="s">
        <v>56</v>
      </c>
      <c r="F547">
        <v>1941.63</v>
      </c>
      <c r="G547">
        <v>38381.769999999997</v>
      </c>
      <c r="H547" t="s">
        <v>100</v>
      </c>
      <c r="I547">
        <v>48</v>
      </c>
      <c r="J547" t="s">
        <v>42</v>
      </c>
      <c r="K547" t="s">
        <v>50</v>
      </c>
      <c r="L547" t="s">
        <v>2074</v>
      </c>
      <c r="M547" t="s">
        <v>52</v>
      </c>
      <c r="N547" t="s">
        <v>29</v>
      </c>
      <c r="O547">
        <v>2.9</v>
      </c>
      <c r="Q547">
        <v>28</v>
      </c>
      <c r="R547">
        <v>409</v>
      </c>
      <c r="S547">
        <v>11349.56</v>
      </c>
      <c r="T547" t="s">
        <v>63</v>
      </c>
    </row>
    <row r="548" spans="1:20" x14ac:dyDescent="0.35">
      <c r="A548" t="s">
        <v>2075</v>
      </c>
      <c r="B548" t="s">
        <v>572</v>
      </c>
      <c r="C548" t="s">
        <v>2076</v>
      </c>
      <c r="D548">
        <v>45092</v>
      </c>
      <c r="E548" t="s">
        <v>71</v>
      </c>
      <c r="F548">
        <v>5565.49</v>
      </c>
      <c r="G548">
        <v>3227.17</v>
      </c>
      <c r="H548" t="s">
        <v>24</v>
      </c>
      <c r="I548">
        <v>40</v>
      </c>
      <c r="J548" t="s">
        <v>25</v>
      </c>
      <c r="K548" t="s">
        <v>26</v>
      </c>
      <c r="L548" t="s">
        <v>1132</v>
      </c>
      <c r="M548" t="s">
        <v>28</v>
      </c>
      <c r="N548" t="s">
        <v>29</v>
      </c>
      <c r="O548">
        <v>4.17</v>
      </c>
      <c r="P548">
        <v>37276.86</v>
      </c>
      <c r="Q548">
        <v>13</v>
      </c>
      <c r="R548">
        <v>627</v>
      </c>
      <c r="S548">
        <v>10356.450000000001</v>
      </c>
      <c r="T548" t="s">
        <v>30</v>
      </c>
    </row>
    <row r="549" spans="1:20" x14ac:dyDescent="0.35">
      <c r="A549" t="s">
        <v>2077</v>
      </c>
      <c r="B549" t="s">
        <v>2078</v>
      </c>
      <c r="C549" t="s">
        <v>2079</v>
      </c>
      <c r="D549">
        <v>44786</v>
      </c>
      <c r="E549" t="s">
        <v>23</v>
      </c>
      <c r="F549">
        <v>4216.3999999999996</v>
      </c>
      <c r="G549">
        <v>32683.42</v>
      </c>
      <c r="H549" t="s">
        <v>100</v>
      </c>
      <c r="I549">
        <v>37</v>
      </c>
      <c r="J549" t="s">
        <v>25</v>
      </c>
      <c r="K549" t="s">
        <v>50</v>
      </c>
      <c r="L549" t="s">
        <v>2080</v>
      </c>
      <c r="M549" t="s">
        <v>28</v>
      </c>
      <c r="N549" t="s">
        <v>29</v>
      </c>
      <c r="O549">
        <v>2.44</v>
      </c>
      <c r="P549">
        <v>39407.839999999997</v>
      </c>
      <c r="Q549">
        <v>3</v>
      </c>
      <c r="R549">
        <v>704</v>
      </c>
      <c r="S549">
        <v>8756.65</v>
      </c>
      <c r="T549" t="s">
        <v>45</v>
      </c>
    </row>
    <row r="550" spans="1:20" x14ac:dyDescent="0.35">
      <c r="A550" t="s">
        <v>2081</v>
      </c>
      <c r="B550" t="s">
        <v>2082</v>
      </c>
      <c r="C550" t="s">
        <v>2083</v>
      </c>
      <c r="D550">
        <v>44828</v>
      </c>
      <c r="E550" t="s">
        <v>71</v>
      </c>
      <c r="F550">
        <v>7224.57</v>
      </c>
      <c r="G550">
        <v>12110.32</v>
      </c>
      <c r="H550" t="s">
        <v>35</v>
      </c>
      <c r="I550">
        <v>32</v>
      </c>
      <c r="J550" t="s">
        <v>25</v>
      </c>
      <c r="K550" t="s">
        <v>36</v>
      </c>
      <c r="L550" t="s">
        <v>1660</v>
      </c>
      <c r="M550" t="s">
        <v>52</v>
      </c>
      <c r="N550" t="s">
        <v>62</v>
      </c>
      <c r="O550">
        <v>4.76</v>
      </c>
      <c r="P550">
        <v>12555.64</v>
      </c>
      <c r="R550">
        <v>544</v>
      </c>
      <c r="S550">
        <v>10863.36</v>
      </c>
      <c r="T550" t="s">
        <v>63</v>
      </c>
    </row>
    <row r="551" spans="1:20" x14ac:dyDescent="0.35">
      <c r="A551" t="s">
        <v>2084</v>
      </c>
      <c r="B551" t="s">
        <v>2085</v>
      </c>
      <c r="C551" t="s">
        <v>2086</v>
      </c>
      <c r="D551">
        <v>45107</v>
      </c>
      <c r="E551" t="s">
        <v>56</v>
      </c>
      <c r="F551">
        <v>3774.5</v>
      </c>
      <c r="G551">
        <v>33831.589999999997</v>
      </c>
      <c r="H551" t="s">
        <v>100</v>
      </c>
      <c r="I551">
        <v>40</v>
      </c>
      <c r="J551" t="s">
        <v>25</v>
      </c>
      <c r="K551" t="s">
        <v>26</v>
      </c>
      <c r="L551" t="s">
        <v>2087</v>
      </c>
      <c r="M551" t="s">
        <v>38</v>
      </c>
      <c r="N551" t="s">
        <v>62</v>
      </c>
      <c r="O551">
        <v>3.14</v>
      </c>
      <c r="Q551">
        <v>4</v>
      </c>
      <c r="R551">
        <v>462</v>
      </c>
      <c r="S551">
        <v>7843.27</v>
      </c>
      <c r="T551" t="s">
        <v>63</v>
      </c>
    </row>
    <row r="552" spans="1:20" x14ac:dyDescent="0.35">
      <c r="A552" t="s">
        <v>2088</v>
      </c>
      <c r="B552" t="s">
        <v>2089</v>
      </c>
      <c r="C552" t="s">
        <v>2090</v>
      </c>
      <c r="D552">
        <v>44643</v>
      </c>
      <c r="E552" t="s">
        <v>23</v>
      </c>
      <c r="F552">
        <v>8710.66</v>
      </c>
      <c r="G552">
        <v>23948.18</v>
      </c>
      <c r="H552" t="s">
        <v>49</v>
      </c>
      <c r="I552">
        <v>45</v>
      </c>
      <c r="J552" t="s">
        <v>42</v>
      </c>
      <c r="K552" t="s">
        <v>26</v>
      </c>
      <c r="L552" t="s">
        <v>2091</v>
      </c>
      <c r="M552" t="s">
        <v>38</v>
      </c>
      <c r="N552" t="s">
        <v>29</v>
      </c>
      <c r="O552">
        <v>3.38</v>
      </c>
      <c r="P552">
        <v>26827.49</v>
      </c>
      <c r="R552">
        <v>698</v>
      </c>
      <c r="S552">
        <v>5141.7299999999996</v>
      </c>
      <c r="T552" t="s">
        <v>45</v>
      </c>
    </row>
    <row r="553" spans="1:20" x14ac:dyDescent="0.35">
      <c r="A553" t="s">
        <v>2092</v>
      </c>
      <c r="B553" t="s">
        <v>2093</v>
      </c>
      <c r="C553" t="s">
        <v>2094</v>
      </c>
      <c r="D553">
        <v>44584</v>
      </c>
      <c r="E553" t="s">
        <v>34</v>
      </c>
      <c r="F553">
        <v>7331.91</v>
      </c>
      <c r="G553">
        <v>38904.080000000002</v>
      </c>
      <c r="H553" t="s">
        <v>24</v>
      </c>
      <c r="I553">
        <v>33</v>
      </c>
      <c r="J553" t="s">
        <v>25</v>
      </c>
      <c r="K553" t="s">
        <v>50</v>
      </c>
      <c r="L553" t="s">
        <v>418</v>
      </c>
      <c r="M553" t="s">
        <v>52</v>
      </c>
      <c r="N553" t="s">
        <v>29</v>
      </c>
      <c r="O553">
        <v>1.1299999999999999</v>
      </c>
      <c r="R553">
        <v>698</v>
      </c>
      <c r="S553">
        <v>2018.44</v>
      </c>
      <c r="T553" t="s">
        <v>63</v>
      </c>
    </row>
    <row r="554" spans="1:20" x14ac:dyDescent="0.35">
      <c r="A554" t="s">
        <v>2095</v>
      </c>
      <c r="B554" t="s">
        <v>2096</v>
      </c>
      <c r="C554" t="s">
        <v>2097</v>
      </c>
      <c r="D554">
        <v>44752</v>
      </c>
      <c r="E554" t="s">
        <v>34</v>
      </c>
      <c r="F554">
        <v>6512.36</v>
      </c>
      <c r="G554">
        <v>7046.64</v>
      </c>
      <c r="H554" t="s">
        <v>100</v>
      </c>
      <c r="I554">
        <v>54</v>
      </c>
      <c r="J554" t="s">
        <v>42</v>
      </c>
      <c r="K554" t="s">
        <v>50</v>
      </c>
      <c r="L554" t="s">
        <v>2098</v>
      </c>
      <c r="M554" t="s">
        <v>52</v>
      </c>
      <c r="N554" t="s">
        <v>44</v>
      </c>
      <c r="O554">
        <v>1.68</v>
      </c>
      <c r="P554">
        <v>28784.29</v>
      </c>
      <c r="Q554">
        <v>7</v>
      </c>
      <c r="R554">
        <v>792</v>
      </c>
      <c r="S554">
        <v>9279.5300000000007</v>
      </c>
      <c r="T554" t="s">
        <v>45</v>
      </c>
    </row>
    <row r="555" spans="1:20" x14ac:dyDescent="0.35">
      <c r="A555" t="s">
        <v>2099</v>
      </c>
      <c r="B555" t="s">
        <v>2100</v>
      </c>
      <c r="C555" t="s">
        <v>2101</v>
      </c>
      <c r="D555">
        <v>45130</v>
      </c>
      <c r="E555" t="s">
        <v>23</v>
      </c>
      <c r="F555">
        <v>7982.78</v>
      </c>
      <c r="G555">
        <v>31689.8</v>
      </c>
      <c r="H555" t="s">
        <v>125</v>
      </c>
      <c r="I555">
        <v>38</v>
      </c>
      <c r="J555" t="s">
        <v>25</v>
      </c>
      <c r="K555" t="s">
        <v>50</v>
      </c>
      <c r="L555" t="s">
        <v>438</v>
      </c>
      <c r="M555" t="s">
        <v>28</v>
      </c>
      <c r="N555" t="s">
        <v>44</v>
      </c>
      <c r="O555">
        <v>3.53</v>
      </c>
      <c r="P555">
        <v>18085.64</v>
      </c>
      <c r="Q555">
        <v>26</v>
      </c>
      <c r="R555">
        <v>538</v>
      </c>
      <c r="S555">
        <v>9678.52</v>
      </c>
      <c r="T555" t="s">
        <v>63</v>
      </c>
    </row>
    <row r="556" spans="1:20" x14ac:dyDescent="0.35">
      <c r="A556" t="s">
        <v>2102</v>
      </c>
      <c r="B556" t="s">
        <v>2103</v>
      </c>
      <c r="C556" t="s">
        <v>2104</v>
      </c>
      <c r="D556">
        <v>45088</v>
      </c>
      <c r="E556" t="s">
        <v>23</v>
      </c>
      <c r="F556">
        <v>7564.83</v>
      </c>
      <c r="G556">
        <v>14645.07</v>
      </c>
      <c r="H556" t="s">
        <v>100</v>
      </c>
      <c r="I556">
        <v>32</v>
      </c>
      <c r="J556" t="s">
        <v>42</v>
      </c>
      <c r="K556" t="s">
        <v>26</v>
      </c>
      <c r="L556" t="s">
        <v>2105</v>
      </c>
      <c r="M556" t="s">
        <v>28</v>
      </c>
      <c r="N556" t="s">
        <v>62</v>
      </c>
      <c r="O556">
        <v>2.68</v>
      </c>
      <c r="P556">
        <v>35937.589999999997</v>
      </c>
      <c r="Q556">
        <v>11</v>
      </c>
      <c r="R556">
        <v>764</v>
      </c>
      <c r="S556">
        <v>14636.64</v>
      </c>
      <c r="T556" t="s">
        <v>45</v>
      </c>
    </row>
    <row r="557" spans="1:20" x14ac:dyDescent="0.35">
      <c r="A557" t="s">
        <v>2106</v>
      </c>
      <c r="B557" t="s">
        <v>2107</v>
      </c>
      <c r="C557" t="s">
        <v>2108</v>
      </c>
      <c r="D557">
        <v>44603</v>
      </c>
      <c r="E557" t="s">
        <v>71</v>
      </c>
      <c r="F557">
        <v>455.79</v>
      </c>
      <c r="G557">
        <v>42796.12</v>
      </c>
      <c r="H557" t="s">
        <v>24</v>
      </c>
      <c r="I557">
        <v>34</v>
      </c>
      <c r="J557" t="s">
        <v>42</v>
      </c>
      <c r="K557" t="s">
        <v>36</v>
      </c>
      <c r="L557" t="s">
        <v>2109</v>
      </c>
      <c r="M557" t="s">
        <v>38</v>
      </c>
      <c r="N557" t="s">
        <v>62</v>
      </c>
      <c r="O557">
        <v>3.03</v>
      </c>
      <c r="R557">
        <v>331</v>
      </c>
      <c r="S557">
        <v>6699.22</v>
      </c>
      <c r="T557" t="s">
        <v>30</v>
      </c>
    </row>
    <row r="558" spans="1:20" x14ac:dyDescent="0.35">
      <c r="A558" t="s">
        <v>2110</v>
      </c>
      <c r="B558" t="s">
        <v>1985</v>
      </c>
      <c r="C558" t="s">
        <v>2111</v>
      </c>
      <c r="D558">
        <v>45143</v>
      </c>
      <c r="E558" t="s">
        <v>23</v>
      </c>
      <c r="F558">
        <v>4007.87</v>
      </c>
      <c r="G558">
        <v>46490.79</v>
      </c>
      <c r="H558" t="s">
        <v>35</v>
      </c>
      <c r="I558">
        <v>67</v>
      </c>
      <c r="J558" t="s">
        <v>25</v>
      </c>
      <c r="K558" t="s">
        <v>36</v>
      </c>
      <c r="L558" t="s">
        <v>2112</v>
      </c>
      <c r="M558" t="s">
        <v>52</v>
      </c>
      <c r="N558" t="s">
        <v>44</v>
      </c>
      <c r="O558">
        <v>1.25</v>
      </c>
      <c r="P558">
        <v>25646.31</v>
      </c>
      <c r="R558">
        <v>422</v>
      </c>
      <c r="S558">
        <v>7123.73</v>
      </c>
      <c r="T558" t="s">
        <v>30</v>
      </c>
    </row>
    <row r="559" spans="1:20" x14ac:dyDescent="0.35">
      <c r="A559" t="s">
        <v>2113</v>
      </c>
      <c r="B559" t="s">
        <v>2114</v>
      </c>
      <c r="C559" t="s">
        <v>2115</v>
      </c>
      <c r="D559">
        <v>44869</v>
      </c>
      <c r="E559" t="s">
        <v>71</v>
      </c>
      <c r="F559">
        <v>9314.99</v>
      </c>
      <c r="G559">
        <v>49823.519999999997</v>
      </c>
      <c r="H559" t="s">
        <v>35</v>
      </c>
      <c r="I559">
        <v>54</v>
      </c>
      <c r="J559" t="s">
        <v>42</v>
      </c>
      <c r="K559" t="s">
        <v>50</v>
      </c>
      <c r="L559" t="s">
        <v>1268</v>
      </c>
      <c r="M559" t="s">
        <v>28</v>
      </c>
      <c r="N559" t="s">
        <v>29</v>
      </c>
      <c r="O559">
        <v>4.34</v>
      </c>
      <c r="R559">
        <v>833</v>
      </c>
      <c r="S559">
        <v>4623.3900000000003</v>
      </c>
      <c r="T559" t="s">
        <v>30</v>
      </c>
    </row>
    <row r="560" spans="1:20" x14ac:dyDescent="0.35">
      <c r="A560" t="s">
        <v>2116</v>
      </c>
      <c r="B560" t="s">
        <v>2117</v>
      </c>
      <c r="C560" t="s">
        <v>2118</v>
      </c>
      <c r="D560">
        <v>44937</v>
      </c>
      <c r="E560" t="s">
        <v>56</v>
      </c>
      <c r="F560">
        <v>1344.67</v>
      </c>
      <c r="G560">
        <v>40004.36</v>
      </c>
      <c r="H560" t="s">
        <v>24</v>
      </c>
      <c r="I560">
        <v>30</v>
      </c>
      <c r="J560" t="s">
        <v>25</v>
      </c>
      <c r="K560" t="s">
        <v>36</v>
      </c>
      <c r="L560" t="s">
        <v>2119</v>
      </c>
      <c r="M560" t="s">
        <v>38</v>
      </c>
      <c r="N560" t="s">
        <v>44</v>
      </c>
      <c r="O560">
        <v>4.1399999999999997</v>
      </c>
      <c r="R560">
        <v>409</v>
      </c>
      <c r="S560">
        <v>2916.95</v>
      </c>
      <c r="T560" t="s">
        <v>63</v>
      </c>
    </row>
    <row r="561" spans="1:20" x14ac:dyDescent="0.35">
      <c r="A561" t="s">
        <v>2120</v>
      </c>
      <c r="B561" t="s">
        <v>2121</v>
      </c>
      <c r="C561" t="s">
        <v>2122</v>
      </c>
      <c r="D561">
        <v>44571</v>
      </c>
      <c r="E561" t="s">
        <v>71</v>
      </c>
      <c r="F561">
        <v>7397.26</v>
      </c>
      <c r="G561">
        <v>37932.97</v>
      </c>
      <c r="H561" t="s">
        <v>49</v>
      </c>
      <c r="I561">
        <v>36</v>
      </c>
      <c r="J561" t="s">
        <v>42</v>
      </c>
      <c r="K561" t="s">
        <v>50</v>
      </c>
      <c r="L561" t="s">
        <v>1236</v>
      </c>
      <c r="M561" t="s">
        <v>38</v>
      </c>
      <c r="N561" t="s">
        <v>62</v>
      </c>
      <c r="O561">
        <v>1.74</v>
      </c>
      <c r="R561">
        <v>570</v>
      </c>
      <c r="S561">
        <v>12046.46</v>
      </c>
      <c r="T561" t="s">
        <v>45</v>
      </c>
    </row>
    <row r="562" spans="1:20" x14ac:dyDescent="0.35">
      <c r="A562" t="s">
        <v>2123</v>
      </c>
      <c r="B562" t="s">
        <v>2124</v>
      </c>
      <c r="C562" t="s">
        <v>2125</v>
      </c>
      <c r="D562">
        <v>44788</v>
      </c>
      <c r="E562" t="s">
        <v>23</v>
      </c>
      <c r="F562">
        <v>9748.4599999999991</v>
      </c>
      <c r="G562">
        <v>11559.54</v>
      </c>
      <c r="H562" t="s">
        <v>49</v>
      </c>
      <c r="I562">
        <v>47</v>
      </c>
      <c r="J562" t="s">
        <v>42</v>
      </c>
      <c r="K562" t="s">
        <v>36</v>
      </c>
      <c r="L562" t="s">
        <v>280</v>
      </c>
      <c r="M562" t="s">
        <v>38</v>
      </c>
      <c r="N562" t="s">
        <v>62</v>
      </c>
      <c r="O562">
        <v>3.54</v>
      </c>
      <c r="P562">
        <v>19337.2</v>
      </c>
      <c r="R562">
        <v>679</v>
      </c>
      <c r="S562">
        <v>5245.85</v>
      </c>
      <c r="T562" t="s">
        <v>45</v>
      </c>
    </row>
    <row r="563" spans="1:20" x14ac:dyDescent="0.35">
      <c r="A563" t="s">
        <v>2126</v>
      </c>
      <c r="B563" t="s">
        <v>2127</v>
      </c>
      <c r="C563" t="s">
        <v>2128</v>
      </c>
      <c r="D563">
        <v>44604</v>
      </c>
      <c r="E563" t="s">
        <v>23</v>
      </c>
      <c r="F563">
        <v>616.77</v>
      </c>
      <c r="G563">
        <v>17464.349999999999</v>
      </c>
      <c r="H563" t="s">
        <v>35</v>
      </c>
      <c r="I563">
        <v>62</v>
      </c>
      <c r="J563" t="s">
        <v>42</v>
      </c>
      <c r="K563" t="s">
        <v>26</v>
      </c>
      <c r="L563" t="s">
        <v>414</v>
      </c>
      <c r="M563" t="s">
        <v>28</v>
      </c>
      <c r="N563" t="s">
        <v>44</v>
      </c>
      <c r="O563">
        <v>4.2699999999999996</v>
      </c>
      <c r="P563">
        <v>45263.71</v>
      </c>
      <c r="R563">
        <v>599</v>
      </c>
      <c r="S563">
        <v>9915.76</v>
      </c>
      <c r="T563" t="s">
        <v>30</v>
      </c>
    </row>
    <row r="564" spans="1:20" x14ac:dyDescent="0.35">
      <c r="A564" t="s">
        <v>2129</v>
      </c>
      <c r="B564" t="s">
        <v>858</v>
      </c>
      <c r="C564" t="s">
        <v>2130</v>
      </c>
      <c r="D564">
        <v>44737</v>
      </c>
      <c r="E564" t="s">
        <v>56</v>
      </c>
      <c r="F564">
        <v>6853.72</v>
      </c>
      <c r="G564">
        <v>23818.44</v>
      </c>
      <c r="H564" t="s">
        <v>35</v>
      </c>
      <c r="I564">
        <v>35</v>
      </c>
      <c r="J564" t="s">
        <v>25</v>
      </c>
      <c r="K564" t="s">
        <v>50</v>
      </c>
      <c r="L564" t="s">
        <v>2131</v>
      </c>
      <c r="M564" t="s">
        <v>28</v>
      </c>
      <c r="N564" t="s">
        <v>44</v>
      </c>
      <c r="O564">
        <v>3.56</v>
      </c>
      <c r="Q564">
        <v>10</v>
      </c>
      <c r="R564">
        <v>548</v>
      </c>
      <c r="S564">
        <v>10941.05</v>
      </c>
      <c r="T564" t="s">
        <v>30</v>
      </c>
    </row>
    <row r="565" spans="1:20" x14ac:dyDescent="0.35">
      <c r="A565" t="s">
        <v>2132</v>
      </c>
      <c r="B565" t="s">
        <v>2133</v>
      </c>
      <c r="C565" t="s">
        <v>2134</v>
      </c>
      <c r="D565">
        <v>44595</v>
      </c>
      <c r="E565" t="s">
        <v>23</v>
      </c>
      <c r="F565">
        <v>4734.7299999999996</v>
      </c>
      <c r="G565">
        <v>38895.67</v>
      </c>
      <c r="H565" t="s">
        <v>24</v>
      </c>
      <c r="I565">
        <v>31</v>
      </c>
      <c r="J565" t="s">
        <v>42</v>
      </c>
      <c r="K565" t="s">
        <v>36</v>
      </c>
      <c r="L565" t="s">
        <v>344</v>
      </c>
      <c r="M565" t="s">
        <v>52</v>
      </c>
      <c r="N565" t="s">
        <v>44</v>
      </c>
      <c r="O565">
        <v>2.2400000000000002</v>
      </c>
      <c r="R565">
        <v>820</v>
      </c>
      <c r="S565">
        <v>8126.08</v>
      </c>
      <c r="T565" t="s">
        <v>30</v>
      </c>
    </row>
    <row r="566" spans="1:20" x14ac:dyDescent="0.35">
      <c r="A566" t="s">
        <v>2135</v>
      </c>
      <c r="B566" t="s">
        <v>2136</v>
      </c>
      <c r="C566" t="s">
        <v>2137</v>
      </c>
      <c r="D566">
        <v>45067</v>
      </c>
      <c r="E566" t="s">
        <v>23</v>
      </c>
      <c r="F566">
        <v>5833.84</v>
      </c>
      <c r="G566">
        <v>45833.33</v>
      </c>
      <c r="H566" t="s">
        <v>49</v>
      </c>
      <c r="I566">
        <v>53</v>
      </c>
      <c r="J566" t="s">
        <v>25</v>
      </c>
      <c r="K566" t="s">
        <v>26</v>
      </c>
      <c r="L566" t="s">
        <v>1656</v>
      </c>
      <c r="M566" t="s">
        <v>52</v>
      </c>
      <c r="N566" t="s">
        <v>62</v>
      </c>
      <c r="O566">
        <v>3.62</v>
      </c>
      <c r="R566">
        <v>333</v>
      </c>
      <c r="S566">
        <v>13392.58</v>
      </c>
      <c r="T566" t="s">
        <v>45</v>
      </c>
    </row>
    <row r="567" spans="1:20" x14ac:dyDescent="0.35">
      <c r="A567" t="s">
        <v>2138</v>
      </c>
      <c r="B567" t="s">
        <v>2139</v>
      </c>
      <c r="C567" t="s">
        <v>2140</v>
      </c>
      <c r="D567">
        <v>44855</v>
      </c>
      <c r="E567" t="s">
        <v>34</v>
      </c>
      <c r="F567">
        <v>944.88</v>
      </c>
      <c r="G567">
        <v>10267.82</v>
      </c>
      <c r="H567" t="s">
        <v>35</v>
      </c>
      <c r="I567">
        <v>53</v>
      </c>
      <c r="J567" t="s">
        <v>42</v>
      </c>
      <c r="K567" t="s">
        <v>36</v>
      </c>
      <c r="L567" t="s">
        <v>1217</v>
      </c>
      <c r="M567" t="s">
        <v>38</v>
      </c>
      <c r="N567" t="s">
        <v>29</v>
      </c>
      <c r="O567">
        <v>1.84</v>
      </c>
      <c r="R567">
        <v>527</v>
      </c>
      <c r="S567">
        <v>7769.33</v>
      </c>
      <c r="T567" t="s">
        <v>30</v>
      </c>
    </row>
    <row r="568" spans="1:20" x14ac:dyDescent="0.35">
      <c r="A568" t="s">
        <v>2141</v>
      </c>
      <c r="B568" t="s">
        <v>2142</v>
      </c>
      <c r="C568" t="s">
        <v>2143</v>
      </c>
      <c r="D568">
        <v>44892</v>
      </c>
      <c r="E568" t="s">
        <v>34</v>
      </c>
      <c r="F568">
        <v>525.77</v>
      </c>
      <c r="G568">
        <v>46196.01</v>
      </c>
      <c r="H568" t="s">
        <v>49</v>
      </c>
      <c r="I568">
        <v>37</v>
      </c>
      <c r="J568" t="s">
        <v>42</v>
      </c>
      <c r="K568" t="s">
        <v>26</v>
      </c>
      <c r="L568" t="s">
        <v>2144</v>
      </c>
      <c r="M568" t="s">
        <v>38</v>
      </c>
      <c r="N568" t="s">
        <v>44</v>
      </c>
      <c r="O568">
        <v>2.27</v>
      </c>
      <c r="R568">
        <v>698</v>
      </c>
      <c r="S568">
        <v>5703.81</v>
      </c>
      <c r="T568" t="s">
        <v>63</v>
      </c>
    </row>
    <row r="569" spans="1:20" x14ac:dyDescent="0.35">
      <c r="A569" t="s">
        <v>2145</v>
      </c>
      <c r="B569" t="s">
        <v>2146</v>
      </c>
      <c r="C569" t="s">
        <v>2147</v>
      </c>
      <c r="D569">
        <v>44998</v>
      </c>
      <c r="E569" t="s">
        <v>56</v>
      </c>
      <c r="F569">
        <v>6701.98</v>
      </c>
      <c r="G569">
        <v>35085.61</v>
      </c>
      <c r="H569" t="s">
        <v>35</v>
      </c>
      <c r="I569">
        <v>69</v>
      </c>
      <c r="J569" t="s">
        <v>42</v>
      </c>
      <c r="K569" t="s">
        <v>26</v>
      </c>
      <c r="L569" t="s">
        <v>694</v>
      </c>
      <c r="M569" t="s">
        <v>28</v>
      </c>
      <c r="N569" t="s">
        <v>62</v>
      </c>
      <c r="O569">
        <v>1.96</v>
      </c>
      <c r="P569">
        <v>37878.660000000003</v>
      </c>
      <c r="Q569">
        <v>12</v>
      </c>
      <c r="R569">
        <v>519</v>
      </c>
      <c r="S569">
        <v>13648.2</v>
      </c>
      <c r="T569" t="s">
        <v>30</v>
      </c>
    </row>
    <row r="570" spans="1:20" x14ac:dyDescent="0.35">
      <c r="A570" t="s">
        <v>2148</v>
      </c>
      <c r="B570" t="s">
        <v>2149</v>
      </c>
      <c r="C570" t="s">
        <v>2150</v>
      </c>
      <c r="D570">
        <v>44719</v>
      </c>
      <c r="E570" t="s">
        <v>71</v>
      </c>
      <c r="F570">
        <v>8250.76</v>
      </c>
      <c r="G570">
        <v>30927.77</v>
      </c>
      <c r="H570" t="s">
        <v>100</v>
      </c>
      <c r="I570">
        <v>36</v>
      </c>
      <c r="J570" t="s">
        <v>42</v>
      </c>
      <c r="K570" t="s">
        <v>36</v>
      </c>
      <c r="L570" t="s">
        <v>2151</v>
      </c>
      <c r="M570" t="s">
        <v>28</v>
      </c>
      <c r="N570" t="s">
        <v>62</v>
      </c>
      <c r="O570">
        <v>3.23</v>
      </c>
      <c r="P570">
        <v>42463.78</v>
      </c>
      <c r="R570">
        <v>670</v>
      </c>
      <c r="S570">
        <v>13200.34</v>
      </c>
      <c r="T570" t="s">
        <v>30</v>
      </c>
    </row>
    <row r="571" spans="1:20" x14ac:dyDescent="0.35">
      <c r="A571" t="s">
        <v>2152</v>
      </c>
      <c r="B571" t="s">
        <v>2153</v>
      </c>
      <c r="C571" t="s">
        <v>2154</v>
      </c>
      <c r="D571">
        <v>44700</v>
      </c>
      <c r="E571" t="s">
        <v>34</v>
      </c>
      <c r="F571">
        <v>7841.95</v>
      </c>
      <c r="G571">
        <v>10792.22</v>
      </c>
      <c r="H571" t="s">
        <v>125</v>
      </c>
      <c r="I571">
        <v>62</v>
      </c>
      <c r="J571" t="s">
        <v>42</v>
      </c>
      <c r="K571" t="s">
        <v>36</v>
      </c>
      <c r="L571" t="s">
        <v>2155</v>
      </c>
      <c r="M571" t="s">
        <v>52</v>
      </c>
      <c r="N571" t="s">
        <v>62</v>
      </c>
      <c r="O571">
        <v>1.43</v>
      </c>
      <c r="P571">
        <v>37166.480000000003</v>
      </c>
      <c r="R571">
        <v>827</v>
      </c>
      <c r="S571">
        <v>4132.5200000000004</v>
      </c>
      <c r="T571" t="s">
        <v>45</v>
      </c>
    </row>
    <row r="572" spans="1:20" x14ac:dyDescent="0.35">
      <c r="A572" t="s">
        <v>2156</v>
      </c>
      <c r="B572" t="s">
        <v>2157</v>
      </c>
      <c r="C572" t="s">
        <v>2158</v>
      </c>
      <c r="D572">
        <v>44861</v>
      </c>
      <c r="E572" t="s">
        <v>71</v>
      </c>
      <c r="F572">
        <v>5483.68</v>
      </c>
      <c r="G572">
        <v>3720.73</v>
      </c>
      <c r="H572" t="s">
        <v>100</v>
      </c>
      <c r="I572">
        <v>61</v>
      </c>
      <c r="J572" t="s">
        <v>42</v>
      </c>
      <c r="K572" t="s">
        <v>26</v>
      </c>
      <c r="L572" t="s">
        <v>2159</v>
      </c>
      <c r="M572" t="s">
        <v>52</v>
      </c>
      <c r="N572" t="s">
        <v>44</v>
      </c>
      <c r="O572">
        <v>4.7300000000000004</v>
      </c>
      <c r="Q572">
        <v>15</v>
      </c>
      <c r="R572">
        <v>374</v>
      </c>
      <c r="S572">
        <v>2337.4899999999998</v>
      </c>
      <c r="T572" t="s">
        <v>63</v>
      </c>
    </row>
    <row r="573" spans="1:20" x14ac:dyDescent="0.35">
      <c r="A573" t="s">
        <v>2160</v>
      </c>
      <c r="B573" t="s">
        <v>2161</v>
      </c>
      <c r="C573" t="s">
        <v>2162</v>
      </c>
      <c r="D573">
        <v>44672</v>
      </c>
      <c r="E573" t="s">
        <v>23</v>
      </c>
      <c r="F573">
        <v>1088.68</v>
      </c>
      <c r="G573">
        <v>28854.78</v>
      </c>
      <c r="H573" t="s">
        <v>35</v>
      </c>
      <c r="I573">
        <v>24</v>
      </c>
      <c r="J573" t="s">
        <v>25</v>
      </c>
      <c r="K573" t="s">
        <v>26</v>
      </c>
      <c r="L573" t="s">
        <v>2163</v>
      </c>
      <c r="M573" t="s">
        <v>52</v>
      </c>
      <c r="N573" t="s">
        <v>44</v>
      </c>
      <c r="O573">
        <v>2.33</v>
      </c>
      <c r="Q573">
        <v>5</v>
      </c>
      <c r="R573">
        <v>435</v>
      </c>
      <c r="S573">
        <v>3169.81</v>
      </c>
      <c r="T573" t="s">
        <v>45</v>
      </c>
    </row>
    <row r="574" spans="1:20" x14ac:dyDescent="0.35">
      <c r="A574" t="s">
        <v>2164</v>
      </c>
      <c r="B574" t="s">
        <v>2165</v>
      </c>
      <c r="C574" t="s">
        <v>2166</v>
      </c>
      <c r="D574">
        <v>44570</v>
      </c>
      <c r="E574" t="s">
        <v>34</v>
      </c>
      <c r="F574">
        <v>6911.64</v>
      </c>
      <c r="G574">
        <v>32924.269999999997</v>
      </c>
      <c r="H574" t="s">
        <v>125</v>
      </c>
      <c r="I574">
        <v>61</v>
      </c>
      <c r="J574" t="s">
        <v>25</v>
      </c>
      <c r="K574" t="s">
        <v>26</v>
      </c>
      <c r="L574" t="s">
        <v>2167</v>
      </c>
      <c r="M574" t="s">
        <v>28</v>
      </c>
      <c r="N574" t="s">
        <v>29</v>
      </c>
      <c r="O574">
        <v>1.88</v>
      </c>
      <c r="P574">
        <v>37045.31</v>
      </c>
      <c r="R574">
        <v>373</v>
      </c>
      <c r="S574">
        <v>5725.12</v>
      </c>
      <c r="T574" t="s">
        <v>63</v>
      </c>
    </row>
    <row r="575" spans="1:20" x14ac:dyDescent="0.35">
      <c r="A575" t="s">
        <v>2168</v>
      </c>
      <c r="B575" t="s">
        <v>2169</v>
      </c>
      <c r="C575" t="s">
        <v>2170</v>
      </c>
      <c r="D575">
        <v>44770</v>
      </c>
      <c r="E575" t="s">
        <v>56</v>
      </c>
      <c r="F575">
        <v>2494.6999999999998</v>
      </c>
      <c r="G575">
        <v>11328.29</v>
      </c>
      <c r="H575" t="s">
        <v>125</v>
      </c>
      <c r="I575">
        <v>21</v>
      </c>
      <c r="J575" t="s">
        <v>25</v>
      </c>
      <c r="K575" t="s">
        <v>50</v>
      </c>
      <c r="L575" t="s">
        <v>2171</v>
      </c>
      <c r="M575" t="s">
        <v>38</v>
      </c>
      <c r="N575" t="s">
        <v>62</v>
      </c>
      <c r="O575">
        <v>2.99</v>
      </c>
      <c r="P575">
        <v>24020.91</v>
      </c>
      <c r="R575">
        <v>553</v>
      </c>
      <c r="S575">
        <v>14639.38</v>
      </c>
      <c r="T575" t="s">
        <v>63</v>
      </c>
    </row>
    <row r="576" spans="1:20" x14ac:dyDescent="0.35">
      <c r="A576" t="s">
        <v>2172</v>
      </c>
      <c r="B576" t="s">
        <v>2173</v>
      </c>
      <c r="C576" t="s">
        <v>2174</v>
      </c>
      <c r="D576">
        <v>44699</v>
      </c>
      <c r="E576" t="s">
        <v>56</v>
      </c>
      <c r="F576">
        <v>9119.58</v>
      </c>
      <c r="G576">
        <v>28266.35</v>
      </c>
      <c r="H576" t="s">
        <v>35</v>
      </c>
      <c r="I576">
        <v>51</v>
      </c>
      <c r="J576" t="s">
        <v>42</v>
      </c>
      <c r="K576" t="s">
        <v>26</v>
      </c>
      <c r="L576" t="s">
        <v>481</v>
      </c>
      <c r="M576" t="s">
        <v>52</v>
      </c>
      <c r="N576" t="s">
        <v>44</v>
      </c>
      <c r="O576">
        <v>2.11</v>
      </c>
      <c r="R576">
        <v>317</v>
      </c>
      <c r="S576">
        <v>9260.7099999999991</v>
      </c>
      <c r="T576" t="s">
        <v>30</v>
      </c>
    </row>
    <row r="577" spans="1:20" x14ac:dyDescent="0.35">
      <c r="A577" t="s">
        <v>2175</v>
      </c>
      <c r="B577" t="s">
        <v>2176</v>
      </c>
      <c r="C577" t="s">
        <v>2177</v>
      </c>
      <c r="D577">
        <v>44991</v>
      </c>
      <c r="E577" t="s">
        <v>56</v>
      </c>
      <c r="F577">
        <v>8398.83</v>
      </c>
      <c r="G577">
        <v>42968.18</v>
      </c>
      <c r="H577" t="s">
        <v>35</v>
      </c>
      <c r="I577">
        <v>19</v>
      </c>
      <c r="J577" t="s">
        <v>25</v>
      </c>
      <c r="K577" t="s">
        <v>50</v>
      </c>
      <c r="L577" t="s">
        <v>2178</v>
      </c>
      <c r="M577" t="s">
        <v>52</v>
      </c>
      <c r="N577" t="s">
        <v>62</v>
      </c>
      <c r="O577">
        <v>3.14</v>
      </c>
      <c r="R577">
        <v>342</v>
      </c>
      <c r="S577">
        <v>6852.4</v>
      </c>
      <c r="T577" t="s">
        <v>30</v>
      </c>
    </row>
    <row r="578" spans="1:20" x14ac:dyDescent="0.35">
      <c r="A578" t="s">
        <v>2179</v>
      </c>
      <c r="B578" t="s">
        <v>2180</v>
      </c>
      <c r="C578" t="s">
        <v>2181</v>
      </c>
      <c r="D578">
        <v>44912</v>
      </c>
      <c r="E578" t="s">
        <v>34</v>
      </c>
      <c r="F578">
        <v>7122.89</v>
      </c>
      <c r="G578">
        <v>41918.230000000003</v>
      </c>
      <c r="H578" t="s">
        <v>49</v>
      </c>
      <c r="I578">
        <v>22</v>
      </c>
      <c r="J578" t="s">
        <v>42</v>
      </c>
      <c r="K578" t="s">
        <v>26</v>
      </c>
      <c r="L578" t="s">
        <v>2182</v>
      </c>
      <c r="M578" t="s">
        <v>28</v>
      </c>
      <c r="N578" t="s">
        <v>62</v>
      </c>
      <c r="O578">
        <v>2.39</v>
      </c>
      <c r="R578">
        <v>349</v>
      </c>
      <c r="S578">
        <v>13553.31</v>
      </c>
      <c r="T578" t="s">
        <v>45</v>
      </c>
    </row>
    <row r="579" spans="1:20" x14ac:dyDescent="0.35">
      <c r="A579" t="s">
        <v>2183</v>
      </c>
      <c r="B579" t="s">
        <v>2184</v>
      </c>
      <c r="C579" t="s">
        <v>2185</v>
      </c>
      <c r="D579">
        <v>44867</v>
      </c>
      <c r="E579" t="s">
        <v>71</v>
      </c>
      <c r="F579">
        <v>9493.57</v>
      </c>
      <c r="G579">
        <v>46440.4</v>
      </c>
      <c r="H579" t="s">
        <v>35</v>
      </c>
      <c r="I579">
        <v>27</v>
      </c>
      <c r="J579" t="s">
        <v>25</v>
      </c>
      <c r="K579" t="s">
        <v>50</v>
      </c>
      <c r="L579" t="s">
        <v>367</v>
      </c>
      <c r="M579" t="s">
        <v>52</v>
      </c>
      <c r="N579" t="s">
        <v>29</v>
      </c>
      <c r="O579">
        <v>1.53</v>
      </c>
      <c r="P579">
        <v>23606.3</v>
      </c>
      <c r="R579">
        <v>814</v>
      </c>
      <c r="S579">
        <v>7890.77</v>
      </c>
      <c r="T579" t="s">
        <v>45</v>
      </c>
    </row>
    <row r="580" spans="1:20" x14ac:dyDescent="0.35">
      <c r="A580" t="s">
        <v>2186</v>
      </c>
      <c r="B580" t="s">
        <v>2187</v>
      </c>
      <c r="C580" t="s">
        <v>2188</v>
      </c>
      <c r="D580">
        <v>44855</v>
      </c>
      <c r="E580" t="s">
        <v>23</v>
      </c>
      <c r="F580">
        <v>411.08</v>
      </c>
      <c r="G580">
        <v>18928.400000000001</v>
      </c>
      <c r="H580" t="s">
        <v>24</v>
      </c>
      <c r="I580">
        <v>49</v>
      </c>
      <c r="J580" t="s">
        <v>25</v>
      </c>
      <c r="K580" t="s">
        <v>26</v>
      </c>
      <c r="L580" t="s">
        <v>566</v>
      </c>
      <c r="M580" t="s">
        <v>38</v>
      </c>
      <c r="N580" t="s">
        <v>44</v>
      </c>
      <c r="O580">
        <v>2.06</v>
      </c>
      <c r="Q580">
        <v>28</v>
      </c>
      <c r="R580">
        <v>602</v>
      </c>
      <c r="S580">
        <v>6098.1</v>
      </c>
      <c r="T580" t="s">
        <v>45</v>
      </c>
    </row>
    <row r="581" spans="1:20" x14ac:dyDescent="0.35">
      <c r="A581" t="s">
        <v>2189</v>
      </c>
      <c r="B581" t="s">
        <v>2190</v>
      </c>
      <c r="C581" t="s">
        <v>2191</v>
      </c>
      <c r="D581">
        <v>45073</v>
      </c>
      <c r="E581" t="s">
        <v>71</v>
      </c>
      <c r="F581">
        <v>7388.38</v>
      </c>
      <c r="G581">
        <v>16584.43</v>
      </c>
      <c r="H581" t="s">
        <v>35</v>
      </c>
      <c r="I581">
        <v>59</v>
      </c>
      <c r="J581" t="s">
        <v>42</v>
      </c>
      <c r="K581" t="s">
        <v>26</v>
      </c>
      <c r="L581" t="s">
        <v>72</v>
      </c>
      <c r="M581" t="s">
        <v>28</v>
      </c>
      <c r="N581" t="s">
        <v>44</v>
      </c>
      <c r="O581">
        <v>2.75</v>
      </c>
      <c r="Q581">
        <v>5</v>
      </c>
      <c r="R581">
        <v>441</v>
      </c>
      <c r="S581">
        <v>14235.85</v>
      </c>
      <c r="T581" t="s">
        <v>63</v>
      </c>
    </row>
    <row r="582" spans="1:20" x14ac:dyDescent="0.35">
      <c r="A582" t="s">
        <v>2192</v>
      </c>
      <c r="B582" t="s">
        <v>2193</v>
      </c>
      <c r="C582" t="s">
        <v>2194</v>
      </c>
      <c r="D582">
        <v>44954</v>
      </c>
      <c r="E582" t="s">
        <v>71</v>
      </c>
      <c r="F582">
        <v>3369.4</v>
      </c>
      <c r="G582">
        <v>37721.870000000003</v>
      </c>
      <c r="H582" t="s">
        <v>24</v>
      </c>
      <c r="I582">
        <v>58</v>
      </c>
      <c r="J582" t="s">
        <v>42</v>
      </c>
      <c r="K582" t="s">
        <v>26</v>
      </c>
      <c r="L582" t="s">
        <v>2195</v>
      </c>
      <c r="M582" t="s">
        <v>52</v>
      </c>
      <c r="N582" t="s">
        <v>62</v>
      </c>
      <c r="O582">
        <v>1.1200000000000001</v>
      </c>
      <c r="R582">
        <v>501</v>
      </c>
      <c r="S582">
        <v>13043.73</v>
      </c>
      <c r="T582" t="s">
        <v>45</v>
      </c>
    </row>
    <row r="583" spans="1:20" x14ac:dyDescent="0.35">
      <c r="A583" t="s">
        <v>2196</v>
      </c>
      <c r="B583" t="s">
        <v>2197</v>
      </c>
      <c r="C583" t="s">
        <v>2198</v>
      </c>
      <c r="D583">
        <v>44782</v>
      </c>
      <c r="E583" t="s">
        <v>23</v>
      </c>
      <c r="F583">
        <v>9070.0499999999993</v>
      </c>
      <c r="G583">
        <v>22124.51</v>
      </c>
      <c r="H583" t="s">
        <v>35</v>
      </c>
      <c r="I583">
        <v>30</v>
      </c>
      <c r="J583" t="s">
        <v>25</v>
      </c>
      <c r="K583" t="s">
        <v>36</v>
      </c>
      <c r="L583" t="s">
        <v>2199</v>
      </c>
      <c r="M583" t="s">
        <v>52</v>
      </c>
      <c r="N583" t="s">
        <v>62</v>
      </c>
      <c r="O583">
        <v>4.08</v>
      </c>
      <c r="P583">
        <v>8309.77</v>
      </c>
      <c r="R583">
        <v>506</v>
      </c>
      <c r="S583">
        <v>12967.69</v>
      </c>
      <c r="T583" t="s">
        <v>63</v>
      </c>
    </row>
    <row r="584" spans="1:20" x14ac:dyDescent="0.35">
      <c r="A584" t="s">
        <v>2200</v>
      </c>
      <c r="B584" t="s">
        <v>2201</v>
      </c>
      <c r="C584" t="s">
        <v>2202</v>
      </c>
      <c r="D584">
        <v>44997</v>
      </c>
      <c r="E584" t="s">
        <v>23</v>
      </c>
      <c r="F584">
        <v>2740.08</v>
      </c>
      <c r="G584">
        <v>5289.88</v>
      </c>
      <c r="H584" t="s">
        <v>49</v>
      </c>
      <c r="I584">
        <v>56</v>
      </c>
      <c r="J584" t="s">
        <v>25</v>
      </c>
      <c r="K584" t="s">
        <v>36</v>
      </c>
      <c r="L584" t="s">
        <v>2203</v>
      </c>
      <c r="M584" t="s">
        <v>28</v>
      </c>
      <c r="N584" t="s">
        <v>29</v>
      </c>
      <c r="O584">
        <v>3.49</v>
      </c>
      <c r="R584">
        <v>714</v>
      </c>
      <c r="S584">
        <v>8659.7000000000007</v>
      </c>
      <c r="T584" t="s">
        <v>63</v>
      </c>
    </row>
    <row r="585" spans="1:20" x14ac:dyDescent="0.35">
      <c r="A585" t="s">
        <v>2204</v>
      </c>
      <c r="B585" t="s">
        <v>2205</v>
      </c>
      <c r="C585" t="s">
        <v>2206</v>
      </c>
      <c r="D585">
        <v>45116</v>
      </c>
      <c r="E585" t="s">
        <v>34</v>
      </c>
      <c r="F585">
        <v>7276.08</v>
      </c>
      <c r="G585">
        <v>14857.26</v>
      </c>
      <c r="H585" t="s">
        <v>24</v>
      </c>
      <c r="I585">
        <v>22</v>
      </c>
      <c r="J585" t="s">
        <v>25</v>
      </c>
      <c r="K585" t="s">
        <v>26</v>
      </c>
      <c r="L585" t="s">
        <v>2207</v>
      </c>
      <c r="M585" t="s">
        <v>28</v>
      </c>
      <c r="N585" t="s">
        <v>29</v>
      </c>
      <c r="O585">
        <v>3.41</v>
      </c>
      <c r="P585">
        <v>38685.410000000003</v>
      </c>
      <c r="Q585">
        <v>12</v>
      </c>
      <c r="R585">
        <v>520</v>
      </c>
      <c r="S585">
        <v>12262.7</v>
      </c>
      <c r="T585" t="s">
        <v>63</v>
      </c>
    </row>
    <row r="586" spans="1:20" x14ac:dyDescent="0.35">
      <c r="A586" t="s">
        <v>2208</v>
      </c>
      <c r="B586" t="s">
        <v>2209</v>
      </c>
      <c r="C586" t="s">
        <v>2210</v>
      </c>
      <c r="D586">
        <v>44637</v>
      </c>
      <c r="E586" t="s">
        <v>34</v>
      </c>
      <c r="F586">
        <v>8788.7099999999991</v>
      </c>
      <c r="G586">
        <v>21510.53</v>
      </c>
      <c r="H586" t="s">
        <v>100</v>
      </c>
      <c r="I586">
        <v>27</v>
      </c>
      <c r="J586" t="s">
        <v>25</v>
      </c>
      <c r="K586" t="s">
        <v>50</v>
      </c>
      <c r="L586" t="s">
        <v>1411</v>
      </c>
      <c r="M586" t="s">
        <v>52</v>
      </c>
      <c r="N586" t="s">
        <v>29</v>
      </c>
      <c r="O586">
        <v>3.18</v>
      </c>
      <c r="R586">
        <v>661</v>
      </c>
      <c r="S586">
        <v>4331.59</v>
      </c>
      <c r="T586" t="s">
        <v>63</v>
      </c>
    </row>
    <row r="587" spans="1:20" x14ac:dyDescent="0.35">
      <c r="A587" t="s">
        <v>2211</v>
      </c>
      <c r="B587" t="s">
        <v>2212</v>
      </c>
      <c r="C587" t="s">
        <v>2213</v>
      </c>
      <c r="D587">
        <v>44828</v>
      </c>
      <c r="E587" t="s">
        <v>34</v>
      </c>
      <c r="F587">
        <v>512.4</v>
      </c>
      <c r="G587">
        <v>15333.3</v>
      </c>
      <c r="H587" t="s">
        <v>24</v>
      </c>
      <c r="I587">
        <v>27</v>
      </c>
      <c r="J587" t="s">
        <v>42</v>
      </c>
      <c r="K587" t="s">
        <v>50</v>
      </c>
      <c r="L587" t="s">
        <v>280</v>
      </c>
      <c r="M587" t="s">
        <v>38</v>
      </c>
      <c r="N587" t="s">
        <v>29</v>
      </c>
      <c r="O587">
        <v>3.36</v>
      </c>
      <c r="Q587">
        <v>27</v>
      </c>
      <c r="R587">
        <v>380</v>
      </c>
      <c r="S587">
        <v>9451.9</v>
      </c>
      <c r="T587" t="s">
        <v>63</v>
      </c>
    </row>
    <row r="588" spans="1:20" x14ac:dyDescent="0.35">
      <c r="A588" t="s">
        <v>2214</v>
      </c>
      <c r="B588" t="s">
        <v>2215</v>
      </c>
      <c r="C588" t="s">
        <v>2216</v>
      </c>
      <c r="D588">
        <v>45101</v>
      </c>
      <c r="E588" t="s">
        <v>34</v>
      </c>
      <c r="F588">
        <v>4036.71</v>
      </c>
      <c r="G588">
        <v>17278.07</v>
      </c>
      <c r="H588" t="s">
        <v>49</v>
      </c>
      <c r="I588">
        <v>55</v>
      </c>
      <c r="J588" t="s">
        <v>25</v>
      </c>
      <c r="K588" t="s">
        <v>26</v>
      </c>
      <c r="L588" t="s">
        <v>1782</v>
      </c>
      <c r="M588" t="s">
        <v>28</v>
      </c>
      <c r="N588" t="s">
        <v>29</v>
      </c>
      <c r="O588">
        <v>4.74</v>
      </c>
      <c r="P588">
        <v>30536.86</v>
      </c>
      <c r="Q588">
        <v>5</v>
      </c>
      <c r="R588">
        <v>584</v>
      </c>
      <c r="S588">
        <v>14790</v>
      </c>
      <c r="T588" t="s">
        <v>30</v>
      </c>
    </row>
    <row r="589" spans="1:20" x14ac:dyDescent="0.35">
      <c r="A589" t="s">
        <v>2217</v>
      </c>
      <c r="B589" t="s">
        <v>2218</v>
      </c>
      <c r="C589" t="s">
        <v>2219</v>
      </c>
      <c r="D589">
        <v>44980</v>
      </c>
      <c r="E589" t="s">
        <v>34</v>
      </c>
      <c r="F589">
        <v>7646.86</v>
      </c>
      <c r="G589">
        <v>15395.02</v>
      </c>
      <c r="H589" t="s">
        <v>24</v>
      </c>
      <c r="I589">
        <v>44</v>
      </c>
      <c r="J589" t="s">
        <v>42</v>
      </c>
      <c r="K589" t="s">
        <v>36</v>
      </c>
      <c r="L589" t="s">
        <v>2220</v>
      </c>
      <c r="M589" t="s">
        <v>38</v>
      </c>
      <c r="N589" t="s">
        <v>29</v>
      </c>
      <c r="O589">
        <v>1.03</v>
      </c>
      <c r="R589">
        <v>668</v>
      </c>
      <c r="S589">
        <v>5782.46</v>
      </c>
      <c r="T589" t="s">
        <v>63</v>
      </c>
    </row>
    <row r="590" spans="1:20" x14ac:dyDescent="0.35">
      <c r="A590" t="s">
        <v>2221</v>
      </c>
      <c r="B590" t="s">
        <v>2222</v>
      </c>
      <c r="C590" t="s">
        <v>2223</v>
      </c>
      <c r="D590">
        <v>44834</v>
      </c>
      <c r="E590" t="s">
        <v>23</v>
      </c>
      <c r="F590">
        <v>4603.7</v>
      </c>
      <c r="G590">
        <v>3033.46</v>
      </c>
      <c r="H590" t="s">
        <v>35</v>
      </c>
      <c r="I590">
        <v>68</v>
      </c>
      <c r="J590" t="s">
        <v>42</v>
      </c>
      <c r="K590" t="s">
        <v>50</v>
      </c>
      <c r="L590" t="s">
        <v>2224</v>
      </c>
      <c r="M590" t="s">
        <v>52</v>
      </c>
      <c r="N590" t="s">
        <v>62</v>
      </c>
      <c r="O590">
        <v>1.19</v>
      </c>
      <c r="P590">
        <v>31900.81</v>
      </c>
      <c r="Q590">
        <v>12</v>
      </c>
      <c r="R590">
        <v>791</v>
      </c>
      <c r="S590">
        <v>12326.58</v>
      </c>
      <c r="T590" t="s">
        <v>63</v>
      </c>
    </row>
    <row r="591" spans="1:20" x14ac:dyDescent="0.35">
      <c r="A591" t="s">
        <v>2225</v>
      </c>
      <c r="B591" t="s">
        <v>2226</v>
      </c>
      <c r="C591" t="s">
        <v>2227</v>
      </c>
      <c r="D591">
        <v>44886</v>
      </c>
      <c r="E591" t="s">
        <v>71</v>
      </c>
      <c r="F591">
        <v>2745.8</v>
      </c>
      <c r="G591">
        <v>32217.64</v>
      </c>
      <c r="H591" t="s">
        <v>35</v>
      </c>
      <c r="I591">
        <v>38</v>
      </c>
      <c r="J591" t="s">
        <v>25</v>
      </c>
      <c r="K591" t="s">
        <v>36</v>
      </c>
      <c r="L591" t="s">
        <v>2228</v>
      </c>
      <c r="M591" t="s">
        <v>38</v>
      </c>
      <c r="N591" t="s">
        <v>29</v>
      </c>
      <c r="O591">
        <v>1.77</v>
      </c>
      <c r="R591">
        <v>645</v>
      </c>
      <c r="S591">
        <v>8376.2199999999993</v>
      </c>
      <c r="T591" t="s">
        <v>30</v>
      </c>
    </row>
    <row r="592" spans="1:20" x14ac:dyDescent="0.35">
      <c r="A592" t="s">
        <v>2229</v>
      </c>
      <c r="B592" t="s">
        <v>2230</v>
      </c>
      <c r="C592" t="s">
        <v>2231</v>
      </c>
      <c r="D592">
        <v>44922</v>
      </c>
      <c r="E592" t="s">
        <v>34</v>
      </c>
      <c r="F592">
        <v>2276.0700000000002</v>
      </c>
      <c r="G592">
        <v>30267.33</v>
      </c>
      <c r="H592" t="s">
        <v>49</v>
      </c>
      <c r="I592">
        <v>25</v>
      </c>
      <c r="J592" t="s">
        <v>42</v>
      </c>
      <c r="K592" t="s">
        <v>50</v>
      </c>
      <c r="L592" t="s">
        <v>649</v>
      </c>
      <c r="M592" t="s">
        <v>52</v>
      </c>
      <c r="N592" t="s">
        <v>62</v>
      </c>
      <c r="O592">
        <v>1.67</v>
      </c>
      <c r="P592">
        <v>20879.48</v>
      </c>
      <c r="Q592">
        <v>2</v>
      </c>
      <c r="R592">
        <v>503</v>
      </c>
      <c r="S592">
        <v>2517.4699999999998</v>
      </c>
      <c r="T592" t="s">
        <v>30</v>
      </c>
    </row>
    <row r="593" spans="1:20" x14ac:dyDescent="0.35">
      <c r="A593" t="s">
        <v>2232</v>
      </c>
      <c r="B593" t="s">
        <v>2233</v>
      </c>
      <c r="C593" t="s">
        <v>2234</v>
      </c>
      <c r="D593">
        <v>44973</v>
      </c>
      <c r="E593" t="s">
        <v>34</v>
      </c>
      <c r="F593">
        <v>1402.03</v>
      </c>
      <c r="G593">
        <v>33015.79</v>
      </c>
      <c r="H593" t="s">
        <v>125</v>
      </c>
      <c r="I593">
        <v>18</v>
      </c>
      <c r="J593" t="s">
        <v>25</v>
      </c>
      <c r="K593" t="s">
        <v>26</v>
      </c>
      <c r="L593" t="s">
        <v>2235</v>
      </c>
      <c r="M593" t="s">
        <v>52</v>
      </c>
      <c r="N593" t="s">
        <v>62</v>
      </c>
      <c r="O593">
        <v>1.72</v>
      </c>
      <c r="R593">
        <v>324</v>
      </c>
      <c r="S593">
        <v>11919.25</v>
      </c>
      <c r="T593" t="s">
        <v>30</v>
      </c>
    </row>
    <row r="594" spans="1:20" x14ac:dyDescent="0.35">
      <c r="A594" t="s">
        <v>2236</v>
      </c>
      <c r="B594" t="s">
        <v>2237</v>
      </c>
      <c r="C594" t="s">
        <v>2238</v>
      </c>
      <c r="D594">
        <v>44945</v>
      </c>
      <c r="E594" t="s">
        <v>71</v>
      </c>
      <c r="F594">
        <v>8585.58</v>
      </c>
      <c r="G594">
        <v>10423.18</v>
      </c>
      <c r="H594" t="s">
        <v>35</v>
      </c>
      <c r="I594">
        <v>45</v>
      </c>
      <c r="J594" t="s">
        <v>42</v>
      </c>
      <c r="K594" t="s">
        <v>36</v>
      </c>
      <c r="L594" t="s">
        <v>1704</v>
      </c>
      <c r="M594" t="s">
        <v>52</v>
      </c>
      <c r="N594" t="s">
        <v>44</v>
      </c>
      <c r="O594">
        <v>3.69</v>
      </c>
      <c r="P594">
        <v>46608.52</v>
      </c>
      <c r="R594">
        <v>368</v>
      </c>
      <c r="S594">
        <v>4191.3999999999996</v>
      </c>
      <c r="T594" t="s">
        <v>45</v>
      </c>
    </row>
    <row r="595" spans="1:20" x14ac:dyDescent="0.35">
      <c r="A595" t="s">
        <v>2239</v>
      </c>
      <c r="B595" t="s">
        <v>2240</v>
      </c>
      <c r="C595" t="s">
        <v>2241</v>
      </c>
      <c r="D595">
        <v>44940</v>
      </c>
      <c r="E595" t="s">
        <v>34</v>
      </c>
      <c r="F595">
        <v>5796.02</v>
      </c>
      <c r="G595">
        <v>15487.07</v>
      </c>
      <c r="H595" t="s">
        <v>100</v>
      </c>
      <c r="I595">
        <v>66</v>
      </c>
      <c r="J595" t="s">
        <v>42</v>
      </c>
      <c r="K595" t="s">
        <v>50</v>
      </c>
      <c r="L595" t="s">
        <v>2242</v>
      </c>
      <c r="M595" t="s">
        <v>52</v>
      </c>
      <c r="N595" t="s">
        <v>62</v>
      </c>
      <c r="O595">
        <v>2.84</v>
      </c>
      <c r="P595">
        <v>9680.56</v>
      </c>
      <c r="Q595">
        <v>23</v>
      </c>
      <c r="R595">
        <v>815</v>
      </c>
      <c r="S595">
        <v>10209.16</v>
      </c>
      <c r="T595" t="s">
        <v>45</v>
      </c>
    </row>
    <row r="596" spans="1:20" x14ac:dyDescent="0.35">
      <c r="A596" t="s">
        <v>2243</v>
      </c>
      <c r="B596" t="s">
        <v>2244</v>
      </c>
      <c r="C596" t="s">
        <v>2245</v>
      </c>
      <c r="D596">
        <v>44981</v>
      </c>
      <c r="E596" t="s">
        <v>71</v>
      </c>
      <c r="F596">
        <v>856.21</v>
      </c>
      <c r="G596">
        <v>31361.18</v>
      </c>
      <c r="H596" t="s">
        <v>49</v>
      </c>
      <c r="I596">
        <v>56</v>
      </c>
      <c r="J596" t="s">
        <v>25</v>
      </c>
      <c r="K596" t="s">
        <v>26</v>
      </c>
      <c r="L596" t="s">
        <v>818</v>
      </c>
      <c r="M596" t="s">
        <v>38</v>
      </c>
      <c r="N596" t="s">
        <v>62</v>
      </c>
      <c r="O596">
        <v>4.97</v>
      </c>
      <c r="Q596">
        <v>21</v>
      </c>
      <c r="R596">
        <v>791</v>
      </c>
      <c r="S596">
        <v>3113.63</v>
      </c>
      <c r="T596" t="s">
        <v>63</v>
      </c>
    </row>
    <row r="597" spans="1:20" x14ac:dyDescent="0.35">
      <c r="A597" t="s">
        <v>2246</v>
      </c>
      <c r="B597" t="s">
        <v>2247</v>
      </c>
      <c r="C597" t="s">
        <v>2248</v>
      </c>
      <c r="D597">
        <v>44629</v>
      </c>
      <c r="E597" t="s">
        <v>71</v>
      </c>
      <c r="F597">
        <v>3887.55</v>
      </c>
      <c r="G597">
        <v>30381.75</v>
      </c>
      <c r="H597" t="s">
        <v>24</v>
      </c>
      <c r="I597">
        <v>31</v>
      </c>
      <c r="J597" t="s">
        <v>42</v>
      </c>
      <c r="K597" t="s">
        <v>26</v>
      </c>
      <c r="L597" t="s">
        <v>2249</v>
      </c>
      <c r="M597" t="s">
        <v>52</v>
      </c>
      <c r="N597" t="s">
        <v>29</v>
      </c>
      <c r="O597">
        <v>1.91</v>
      </c>
      <c r="P597">
        <v>15174.46</v>
      </c>
      <c r="Q597">
        <v>25</v>
      </c>
      <c r="R597">
        <v>539</v>
      </c>
      <c r="S597">
        <v>14309.28</v>
      </c>
      <c r="T597" t="s">
        <v>63</v>
      </c>
    </row>
    <row r="598" spans="1:20" x14ac:dyDescent="0.35">
      <c r="A598" t="s">
        <v>2250</v>
      </c>
      <c r="B598" t="s">
        <v>2251</v>
      </c>
      <c r="C598" t="s">
        <v>2252</v>
      </c>
      <c r="D598">
        <v>45128</v>
      </c>
      <c r="E598" t="s">
        <v>23</v>
      </c>
      <c r="F598">
        <v>3740.56</v>
      </c>
      <c r="G598">
        <v>25810.19</v>
      </c>
      <c r="H598" t="s">
        <v>24</v>
      </c>
      <c r="I598">
        <v>38</v>
      </c>
      <c r="J598" t="s">
        <v>42</v>
      </c>
      <c r="K598" t="s">
        <v>26</v>
      </c>
      <c r="L598" t="s">
        <v>375</v>
      </c>
      <c r="M598" t="s">
        <v>52</v>
      </c>
      <c r="N598" t="s">
        <v>62</v>
      </c>
      <c r="O598">
        <v>2.2400000000000002</v>
      </c>
      <c r="R598">
        <v>660</v>
      </c>
      <c r="S598">
        <v>5792.41</v>
      </c>
      <c r="T598" t="s">
        <v>63</v>
      </c>
    </row>
    <row r="599" spans="1:20" x14ac:dyDescent="0.35">
      <c r="A599" t="s">
        <v>2253</v>
      </c>
      <c r="B599" t="s">
        <v>2254</v>
      </c>
      <c r="C599" t="s">
        <v>2255</v>
      </c>
      <c r="D599">
        <v>44608</v>
      </c>
      <c r="E599" t="s">
        <v>56</v>
      </c>
      <c r="F599">
        <v>1899.22</v>
      </c>
      <c r="G599">
        <v>18170.25</v>
      </c>
      <c r="H599" t="s">
        <v>100</v>
      </c>
      <c r="I599">
        <v>47</v>
      </c>
      <c r="J599" t="s">
        <v>25</v>
      </c>
      <c r="K599" t="s">
        <v>36</v>
      </c>
      <c r="L599" t="s">
        <v>121</v>
      </c>
      <c r="M599" t="s">
        <v>38</v>
      </c>
      <c r="N599" t="s">
        <v>29</v>
      </c>
      <c r="O599">
        <v>4.9400000000000004</v>
      </c>
      <c r="P599">
        <v>18885.490000000002</v>
      </c>
      <c r="Q599">
        <v>13</v>
      </c>
      <c r="R599">
        <v>740</v>
      </c>
      <c r="S599">
        <v>4944.04</v>
      </c>
      <c r="T599" t="s">
        <v>63</v>
      </c>
    </row>
    <row r="600" spans="1:20" x14ac:dyDescent="0.35">
      <c r="A600" t="s">
        <v>2256</v>
      </c>
      <c r="B600" t="s">
        <v>2257</v>
      </c>
      <c r="C600" t="s">
        <v>2258</v>
      </c>
      <c r="D600">
        <v>44811</v>
      </c>
      <c r="E600" t="s">
        <v>23</v>
      </c>
      <c r="F600">
        <v>4411.53</v>
      </c>
      <c r="G600">
        <v>45733.62</v>
      </c>
      <c r="H600" t="s">
        <v>35</v>
      </c>
      <c r="I600">
        <v>38</v>
      </c>
      <c r="J600" t="s">
        <v>42</v>
      </c>
      <c r="K600" t="s">
        <v>36</v>
      </c>
      <c r="L600" t="s">
        <v>2259</v>
      </c>
      <c r="M600" t="s">
        <v>28</v>
      </c>
      <c r="N600" t="s">
        <v>29</v>
      </c>
      <c r="O600">
        <v>4.33</v>
      </c>
      <c r="Q600">
        <v>10</v>
      </c>
      <c r="R600">
        <v>330</v>
      </c>
      <c r="S600">
        <v>3678.77</v>
      </c>
      <c r="T600" t="s">
        <v>30</v>
      </c>
    </row>
    <row r="601" spans="1:20" x14ac:dyDescent="0.35">
      <c r="A601" t="s">
        <v>2260</v>
      </c>
      <c r="B601" t="s">
        <v>2261</v>
      </c>
      <c r="C601" t="s">
        <v>2262</v>
      </c>
      <c r="D601">
        <v>44643</v>
      </c>
      <c r="E601" t="s">
        <v>56</v>
      </c>
      <c r="F601">
        <v>3387.78</v>
      </c>
      <c r="G601">
        <v>17648.740000000002</v>
      </c>
      <c r="H601" t="s">
        <v>49</v>
      </c>
      <c r="I601">
        <v>66</v>
      </c>
      <c r="J601" t="s">
        <v>42</v>
      </c>
      <c r="K601" t="s">
        <v>26</v>
      </c>
      <c r="L601" t="s">
        <v>902</v>
      </c>
      <c r="M601" t="s">
        <v>38</v>
      </c>
      <c r="N601" t="s">
        <v>29</v>
      </c>
      <c r="O601">
        <v>2.88</v>
      </c>
      <c r="R601">
        <v>621</v>
      </c>
      <c r="S601">
        <v>14298.03</v>
      </c>
      <c r="T601" t="s">
        <v>45</v>
      </c>
    </row>
    <row r="602" spans="1:20" x14ac:dyDescent="0.35">
      <c r="A602" t="s">
        <v>2263</v>
      </c>
      <c r="B602" t="s">
        <v>2264</v>
      </c>
      <c r="C602" t="s">
        <v>2265</v>
      </c>
      <c r="D602">
        <v>44924</v>
      </c>
      <c r="E602" t="s">
        <v>56</v>
      </c>
      <c r="F602">
        <v>3483.86</v>
      </c>
      <c r="G602">
        <v>23325.34</v>
      </c>
      <c r="H602" t="s">
        <v>100</v>
      </c>
      <c r="I602">
        <v>26</v>
      </c>
      <c r="J602" t="s">
        <v>25</v>
      </c>
      <c r="K602" t="s">
        <v>36</v>
      </c>
      <c r="L602" t="s">
        <v>1411</v>
      </c>
      <c r="M602" t="s">
        <v>38</v>
      </c>
      <c r="N602" t="s">
        <v>44</v>
      </c>
      <c r="O602">
        <v>3.22</v>
      </c>
      <c r="R602">
        <v>643</v>
      </c>
      <c r="S602">
        <v>11254.75</v>
      </c>
      <c r="T602" t="s">
        <v>30</v>
      </c>
    </row>
    <row r="603" spans="1:20" x14ac:dyDescent="0.35">
      <c r="A603" t="s">
        <v>2266</v>
      </c>
      <c r="B603" t="s">
        <v>2267</v>
      </c>
      <c r="C603" t="s">
        <v>2268</v>
      </c>
      <c r="D603">
        <v>44683</v>
      </c>
      <c r="E603" t="s">
        <v>56</v>
      </c>
      <c r="F603">
        <v>7416.36</v>
      </c>
      <c r="G603">
        <v>34227.58</v>
      </c>
      <c r="H603" t="s">
        <v>35</v>
      </c>
      <c r="I603">
        <v>34</v>
      </c>
      <c r="J603" t="s">
        <v>25</v>
      </c>
      <c r="K603" t="s">
        <v>50</v>
      </c>
      <c r="L603" t="s">
        <v>2269</v>
      </c>
      <c r="M603" t="s">
        <v>38</v>
      </c>
      <c r="N603" t="s">
        <v>29</v>
      </c>
      <c r="O603">
        <v>4.37</v>
      </c>
      <c r="Q603">
        <v>24</v>
      </c>
      <c r="R603">
        <v>835</v>
      </c>
      <c r="S603">
        <v>11641.59</v>
      </c>
      <c r="T603" t="s">
        <v>45</v>
      </c>
    </row>
    <row r="604" spans="1:20" x14ac:dyDescent="0.35">
      <c r="A604" t="s">
        <v>2270</v>
      </c>
      <c r="B604" t="s">
        <v>2271</v>
      </c>
      <c r="C604" t="s">
        <v>2272</v>
      </c>
      <c r="D604">
        <v>44732</v>
      </c>
      <c r="E604" t="s">
        <v>34</v>
      </c>
      <c r="F604">
        <v>2310.31</v>
      </c>
      <c r="G604">
        <v>27608.05</v>
      </c>
      <c r="H604" t="s">
        <v>49</v>
      </c>
      <c r="I604">
        <v>22</v>
      </c>
      <c r="J604" t="s">
        <v>42</v>
      </c>
      <c r="K604" t="s">
        <v>26</v>
      </c>
      <c r="L604" t="s">
        <v>2273</v>
      </c>
      <c r="M604" t="s">
        <v>52</v>
      </c>
      <c r="N604" t="s">
        <v>62</v>
      </c>
      <c r="O604">
        <v>2.92</v>
      </c>
      <c r="P604">
        <v>41499.769999999997</v>
      </c>
      <c r="Q604">
        <v>15</v>
      </c>
      <c r="R604">
        <v>654</v>
      </c>
      <c r="S604">
        <v>8492.26</v>
      </c>
      <c r="T604" t="s">
        <v>30</v>
      </c>
    </row>
    <row r="605" spans="1:20" x14ac:dyDescent="0.35">
      <c r="A605" t="s">
        <v>2274</v>
      </c>
      <c r="B605" t="s">
        <v>2275</v>
      </c>
      <c r="C605" t="s">
        <v>2276</v>
      </c>
      <c r="D605">
        <v>44797</v>
      </c>
      <c r="E605" t="s">
        <v>23</v>
      </c>
      <c r="F605">
        <v>6454.41</v>
      </c>
      <c r="G605">
        <v>17997.41</v>
      </c>
      <c r="H605" t="s">
        <v>24</v>
      </c>
      <c r="I605">
        <v>48</v>
      </c>
      <c r="J605" t="s">
        <v>42</v>
      </c>
      <c r="K605" t="s">
        <v>26</v>
      </c>
      <c r="L605" t="s">
        <v>2277</v>
      </c>
      <c r="M605" t="s">
        <v>52</v>
      </c>
      <c r="N605" t="s">
        <v>29</v>
      </c>
      <c r="O605">
        <v>1.82</v>
      </c>
      <c r="Q605">
        <v>8</v>
      </c>
      <c r="R605">
        <v>770</v>
      </c>
      <c r="S605">
        <v>8171.46</v>
      </c>
      <c r="T605" t="s">
        <v>63</v>
      </c>
    </row>
    <row r="606" spans="1:20" x14ac:dyDescent="0.35">
      <c r="A606" t="s">
        <v>2278</v>
      </c>
      <c r="B606" t="s">
        <v>2279</v>
      </c>
      <c r="C606" t="s">
        <v>2280</v>
      </c>
      <c r="D606">
        <v>44913</v>
      </c>
      <c r="E606" t="s">
        <v>56</v>
      </c>
      <c r="F606">
        <v>5749.43</v>
      </c>
      <c r="G606">
        <v>22346.59</v>
      </c>
      <c r="H606" t="s">
        <v>49</v>
      </c>
      <c r="I606">
        <v>69</v>
      </c>
      <c r="J606" t="s">
        <v>42</v>
      </c>
      <c r="K606" t="s">
        <v>36</v>
      </c>
      <c r="L606" t="s">
        <v>1921</v>
      </c>
      <c r="M606" t="s">
        <v>52</v>
      </c>
      <c r="N606" t="s">
        <v>29</v>
      </c>
      <c r="O606">
        <v>4.3099999999999996</v>
      </c>
      <c r="R606">
        <v>404</v>
      </c>
      <c r="S606">
        <v>3430.28</v>
      </c>
      <c r="T606" t="s">
        <v>45</v>
      </c>
    </row>
    <row r="607" spans="1:20" x14ac:dyDescent="0.35">
      <c r="A607" t="s">
        <v>2281</v>
      </c>
      <c r="B607" t="s">
        <v>2282</v>
      </c>
      <c r="C607" t="s">
        <v>2283</v>
      </c>
      <c r="D607">
        <v>44810</v>
      </c>
      <c r="E607" t="s">
        <v>71</v>
      </c>
      <c r="F607">
        <v>5724.12</v>
      </c>
      <c r="G607">
        <v>39929.56</v>
      </c>
      <c r="H607" t="s">
        <v>125</v>
      </c>
      <c r="I607">
        <v>57</v>
      </c>
      <c r="J607" t="s">
        <v>25</v>
      </c>
      <c r="K607" t="s">
        <v>26</v>
      </c>
      <c r="L607" t="s">
        <v>1638</v>
      </c>
      <c r="M607" t="s">
        <v>28</v>
      </c>
      <c r="N607" t="s">
        <v>29</v>
      </c>
      <c r="O607">
        <v>3.15</v>
      </c>
      <c r="R607">
        <v>621</v>
      </c>
      <c r="S607">
        <v>9277.93</v>
      </c>
      <c r="T607" t="s">
        <v>63</v>
      </c>
    </row>
    <row r="608" spans="1:20" x14ac:dyDescent="0.35">
      <c r="A608" t="s">
        <v>2284</v>
      </c>
      <c r="B608" t="s">
        <v>2285</v>
      </c>
      <c r="C608" t="s">
        <v>2286</v>
      </c>
      <c r="D608">
        <v>45016</v>
      </c>
      <c r="E608" t="s">
        <v>34</v>
      </c>
      <c r="F608">
        <v>6663.77</v>
      </c>
      <c r="G608">
        <v>14628.33</v>
      </c>
      <c r="H608" t="s">
        <v>49</v>
      </c>
      <c r="I608">
        <v>55</v>
      </c>
      <c r="J608" t="s">
        <v>42</v>
      </c>
      <c r="K608" t="s">
        <v>50</v>
      </c>
      <c r="L608" t="s">
        <v>2287</v>
      </c>
      <c r="M608" t="s">
        <v>52</v>
      </c>
      <c r="N608" t="s">
        <v>44</v>
      </c>
      <c r="O608">
        <v>1.61</v>
      </c>
      <c r="Q608">
        <v>18</v>
      </c>
      <c r="R608">
        <v>826</v>
      </c>
      <c r="S608">
        <v>5209.91</v>
      </c>
      <c r="T608" t="s">
        <v>45</v>
      </c>
    </row>
    <row r="609" spans="1:20" x14ac:dyDescent="0.35">
      <c r="A609" t="s">
        <v>2288</v>
      </c>
      <c r="B609" t="s">
        <v>467</v>
      </c>
      <c r="C609" t="s">
        <v>2289</v>
      </c>
      <c r="D609">
        <v>45055</v>
      </c>
      <c r="E609" t="s">
        <v>23</v>
      </c>
      <c r="F609">
        <v>5528.98</v>
      </c>
      <c r="G609">
        <v>7970.51</v>
      </c>
      <c r="H609" t="s">
        <v>125</v>
      </c>
      <c r="I609">
        <v>60</v>
      </c>
      <c r="J609" t="s">
        <v>42</v>
      </c>
      <c r="K609" t="s">
        <v>36</v>
      </c>
      <c r="L609" t="s">
        <v>473</v>
      </c>
      <c r="M609" t="s">
        <v>28</v>
      </c>
      <c r="N609" t="s">
        <v>62</v>
      </c>
      <c r="O609">
        <v>3.02</v>
      </c>
      <c r="R609">
        <v>803</v>
      </c>
      <c r="S609">
        <v>14702.89</v>
      </c>
      <c r="T609" t="s">
        <v>45</v>
      </c>
    </row>
    <row r="610" spans="1:20" x14ac:dyDescent="0.35">
      <c r="A610" t="s">
        <v>2290</v>
      </c>
      <c r="B610" t="s">
        <v>2291</v>
      </c>
      <c r="C610" t="s">
        <v>2292</v>
      </c>
      <c r="D610">
        <v>45128</v>
      </c>
      <c r="E610" t="s">
        <v>56</v>
      </c>
      <c r="F610">
        <v>8804.6299999999992</v>
      </c>
      <c r="G610">
        <v>16345</v>
      </c>
      <c r="H610" t="s">
        <v>49</v>
      </c>
      <c r="I610">
        <v>36</v>
      </c>
      <c r="J610" t="s">
        <v>42</v>
      </c>
      <c r="K610" t="s">
        <v>36</v>
      </c>
      <c r="L610" t="s">
        <v>2293</v>
      </c>
      <c r="M610" t="s">
        <v>52</v>
      </c>
      <c r="N610" t="s">
        <v>44</v>
      </c>
      <c r="O610">
        <v>2.65</v>
      </c>
      <c r="P610">
        <v>10984.94</v>
      </c>
      <c r="Q610">
        <v>25</v>
      </c>
      <c r="R610">
        <v>384</v>
      </c>
      <c r="S610">
        <v>12355.55</v>
      </c>
      <c r="T610" t="s">
        <v>63</v>
      </c>
    </row>
    <row r="611" spans="1:20" x14ac:dyDescent="0.35">
      <c r="A611" t="s">
        <v>2294</v>
      </c>
      <c r="B611" t="s">
        <v>1590</v>
      </c>
      <c r="C611" t="s">
        <v>2295</v>
      </c>
      <c r="D611">
        <v>44700</v>
      </c>
      <c r="E611" t="s">
        <v>71</v>
      </c>
      <c r="F611">
        <v>6788.24</v>
      </c>
      <c r="G611">
        <v>42627.18</v>
      </c>
      <c r="H611" t="s">
        <v>125</v>
      </c>
      <c r="I611">
        <v>53</v>
      </c>
      <c r="J611" t="s">
        <v>42</v>
      </c>
      <c r="K611" t="s">
        <v>26</v>
      </c>
      <c r="L611" t="s">
        <v>2112</v>
      </c>
      <c r="M611" t="s">
        <v>38</v>
      </c>
      <c r="N611" t="s">
        <v>62</v>
      </c>
      <c r="O611">
        <v>4.51</v>
      </c>
      <c r="Q611">
        <v>17</v>
      </c>
      <c r="R611">
        <v>534</v>
      </c>
      <c r="S611">
        <v>7368.9</v>
      </c>
      <c r="T611" t="s">
        <v>63</v>
      </c>
    </row>
    <row r="612" spans="1:20" x14ac:dyDescent="0.35">
      <c r="A612" t="s">
        <v>2296</v>
      </c>
      <c r="B612" t="s">
        <v>2297</v>
      </c>
      <c r="C612" t="s">
        <v>2298</v>
      </c>
      <c r="D612">
        <v>45130</v>
      </c>
      <c r="E612" t="s">
        <v>23</v>
      </c>
      <c r="F612">
        <v>5514.94</v>
      </c>
      <c r="G612">
        <v>5360.5</v>
      </c>
      <c r="H612" t="s">
        <v>24</v>
      </c>
      <c r="I612">
        <v>67</v>
      </c>
      <c r="J612" t="s">
        <v>42</v>
      </c>
      <c r="K612" t="s">
        <v>26</v>
      </c>
      <c r="L612" t="s">
        <v>399</v>
      </c>
      <c r="M612" t="s">
        <v>52</v>
      </c>
      <c r="N612" t="s">
        <v>44</v>
      </c>
      <c r="O612">
        <v>1.5</v>
      </c>
      <c r="P612">
        <v>7241.35</v>
      </c>
      <c r="R612">
        <v>562</v>
      </c>
      <c r="S612">
        <v>3967.44</v>
      </c>
      <c r="T612" t="s">
        <v>63</v>
      </c>
    </row>
    <row r="613" spans="1:20" x14ac:dyDescent="0.35">
      <c r="A613" t="s">
        <v>2299</v>
      </c>
      <c r="B613" t="s">
        <v>1836</v>
      </c>
      <c r="C613" t="s">
        <v>2300</v>
      </c>
      <c r="D613">
        <v>44648</v>
      </c>
      <c r="E613" t="s">
        <v>23</v>
      </c>
      <c r="F613">
        <v>8314.65</v>
      </c>
      <c r="G613">
        <v>49593.11</v>
      </c>
      <c r="H613" t="s">
        <v>35</v>
      </c>
      <c r="I613">
        <v>50</v>
      </c>
      <c r="J613" t="s">
        <v>42</v>
      </c>
      <c r="K613" t="s">
        <v>26</v>
      </c>
      <c r="L613" t="s">
        <v>2301</v>
      </c>
      <c r="M613" t="s">
        <v>28</v>
      </c>
      <c r="N613" t="s">
        <v>62</v>
      </c>
      <c r="O613">
        <v>4.5</v>
      </c>
      <c r="P613">
        <v>16865.400000000001</v>
      </c>
      <c r="Q613">
        <v>24</v>
      </c>
      <c r="R613">
        <v>305</v>
      </c>
      <c r="S613">
        <v>12209.31</v>
      </c>
      <c r="T613" t="s">
        <v>30</v>
      </c>
    </row>
    <row r="614" spans="1:20" x14ac:dyDescent="0.35">
      <c r="A614" t="s">
        <v>2302</v>
      </c>
      <c r="B614" t="s">
        <v>1963</v>
      </c>
      <c r="C614" t="s">
        <v>2303</v>
      </c>
      <c r="D614">
        <v>44782</v>
      </c>
      <c r="E614" t="s">
        <v>34</v>
      </c>
      <c r="F614">
        <v>6100.85</v>
      </c>
      <c r="G614">
        <v>27509.14</v>
      </c>
      <c r="H614" t="s">
        <v>125</v>
      </c>
      <c r="I614">
        <v>30</v>
      </c>
      <c r="J614" t="s">
        <v>25</v>
      </c>
      <c r="K614" t="s">
        <v>36</v>
      </c>
      <c r="L614" t="s">
        <v>1871</v>
      </c>
      <c r="M614" t="s">
        <v>28</v>
      </c>
      <c r="N614" t="s">
        <v>44</v>
      </c>
      <c r="O614">
        <v>3.05</v>
      </c>
      <c r="Q614">
        <v>7</v>
      </c>
      <c r="R614">
        <v>793</v>
      </c>
      <c r="S614">
        <v>3586.7</v>
      </c>
      <c r="T614" t="s">
        <v>45</v>
      </c>
    </row>
    <row r="615" spans="1:20" x14ac:dyDescent="0.35">
      <c r="A615" t="s">
        <v>2304</v>
      </c>
      <c r="B615" t="s">
        <v>2305</v>
      </c>
      <c r="C615" t="s">
        <v>2306</v>
      </c>
      <c r="D615">
        <v>45060</v>
      </c>
      <c r="E615" t="s">
        <v>23</v>
      </c>
      <c r="F615">
        <v>2982.33</v>
      </c>
      <c r="G615">
        <v>49257.440000000002</v>
      </c>
      <c r="H615" t="s">
        <v>125</v>
      </c>
      <c r="I615">
        <v>31</v>
      </c>
      <c r="J615" t="s">
        <v>25</v>
      </c>
      <c r="K615" t="s">
        <v>26</v>
      </c>
      <c r="L615" t="s">
        <v>363</v>
      </c>
      <c r="M615" t="s">
        <v>52</v>
      </c>
      <c r="N615" t="s">
        <v>29</v>
      </c>
      <c r="O615">
        <v>2.62</v>
      </c>
      <c r="R615">
        <v>588</v>
      </c>
      <c r="S615">
        <v>4461.34</v>
      </c>
      <c r="T615" t="s">
        <v>45</v>
      </c>
    </row>
    <row r="616" spans="1:20" x14ac:dyDescent="0.35">
      <c r="A616" t="s">
        <v>2307</v>
      </c>
      <c r="B616" t="s">
        <v>2308</v>
      </c>
      <c r="C616" t="s">
        <v>2309</v>
      </c>
      <c r="D616">
        <v>44702</v>
      </c>
      <c r="E616" t="s">
        <v>34</v>
      </c>
      <c r="F616">
        <v>2150.2399999999998</v>
      </c>
      <c r="G616">
        <v>47010.82</v>
      </c>
      <c r="H616" t="s">
        <v>24</v>
      </c>
      <c r="I616">
        <v>50</v>
      </c>
      <c r="J616" t="s">
        <v>42</v>
      </c>
      <c r="K616" t="s">
        <v>50</v>
      </c>
      <c r="L616" t="s">
        <v>2310</v>
      </c>
      <c r="M616" t="s">
        <v>38</v>
      </c>
      <c r="N616" t="s">
        <v>44</v>
      </c>
      <c r="O616">
        <v>1.65</v>
      </c>
      <c r="P616">
        <v>42474.879999999997</v>
      </c>
      <c r="Q616">
        <v>27</v>
      </c>
      <c r="R616">
        <v>649</v>
      </c>
      <c r="S616">
        <v>4749.7700000000004</v>
      </c>
      <c r="T616" t="s">
        <v>45</v>
      </c>
    </row>
    <row r="617" spans="1:20" x14ac:dyDescent="0.35">
      <c r="A617" t="s">
        <v>2311</v>
      </c>
      <c r="B617" t="s">
        <v>2312</v>
      </c>
      <c r="C617" t="s">
        <v>2313</v>
      </c>
      <c r="D617">
        <v>44880</v>
      </c>
      <c r="E617" t="s">
        <v>56</v>
      </c>
      <c r="F617">
        <v>1608.05</v>
      </c>
      <c r="G617">
        <v>23187.87</v>
      </c>
      <c r="H617" t="s">
        <v>125</v>
      </c>
      <c r="I617">
        <v>46</v>
      </c>
      <c r="J617" t="s">
        <v>42</v>
      </c>
      <c r="K617" t="s">
        <v>26</v>
      </c>
      <c r="L617" t="s">
        <v>367</v>
      </c>
      <c r="M617" t="s">
        <v>52</v>
      </c>
      <c r="N617" t="s">
        <v>44</v>
      </c>
      <c r="O617">
        <v>3.8</v>
      </c>
      <c r="P617">
        <v>19684.41</v>
      </c>
      <c r="Q617">
        <v>16</v>
      </c>
      <c r="R617">
        <v>499</v>
      </c>
      <c r="S617">
        <v>9239.58</v>
      </c>
      <c r="T617" t="s">
        <v>63</v>
      </c>
    </row>
    <row r="618" spans="1:20" x14ac:dyDescent="0.35">
      <c r="A618" t="s">
        <v>2314</v>
      </c>
      <c r="B618" t="s">
        <v>2315</v>
      </c>
      <c r="C618" t="s">
        <v>2316</v>
      </c>
      <c r="D618">
        <v>44939</v>
      </c>
      <c r="E618" t="s">
        <v>34</v>
      </c>
      <c r="F618">
        <v>9004.61</v>
      </c>
      <c r="G618">
        <v>10726.06</v>
      </c>
      <c r="H618" t="s">
        <v>100</v>
      </c>
      <c r="I618">
        <v>60</v>
      </c>
      <c r="J618" t="s">
        <v>25</v>
      </c>
      <c r="K618" t="s">
        <v>26</v>
      </c>
      <c r="L618" t="s">
        <v>2031</v>
      </c>
      <c r="M618" t="s">
        <v>52</v>
      </c>
      <c r="N618" t="s">
        <v>29</v>
      </c>
      <c r="O618">
        <v>4.71</v>
      </c>
      <c r="P618">
        <v>37752.54</v>
      </c>
      <c r="R618">
        <v>634</v>
      </c>
      <c r="S618">
        <v>12231.74</v>
      </c>
      <c r="T618" t="s">
        <v>45</v>
      </c>
    </row>
    <row r="619" spans="1:20" x14ac:dyDescent="0.35">
      <c r="A619" t="s">
        <v>2317</v>
      </c>
      <c r="B619" t="s">
        <v>2318</v>
      </c>
      <c r="C619" t="s">
        <v>2319</v>
      </c>
      <c r="D619">
        <v>45047</v>
      </c>
      <c r="E619" t="s">
        <v>71</v>
      </c>
      <c r="F619">
        <v>7130.34</v>
      </c>
      <c r="G619">
        <v>9079.35</v>
      </c>
      <c r="H619" t="s">
        <v>24</v>
      </c>
      <c r="I619">
        <v>66</v>
      </c>
      <c r="J619" t="s">
        <v>25</v>
      </c>
      <c r="K619" t="s">
        <v>36</v>
      </c>
      <c r="L619" t="s">
        <v>933</v>
      </c>
      <c r="M619" t="s">
        <v>52</v>
      </c>
      <c r="N619" t="s">
        <v>29</v>
      </c>
      <c r="O619">
        <v>2.5</v>
      </c>
      <c r="Q619">
        <v>4</v>
      </c>
      <c r="R619">
        <v>516</v>
      </c>
      <c r="S619">
        <v>6086.09</v>
      </c>
      <c r="T619" t="s">
        <v>45</v>
      </c>
    </row>
    <row r="620" spans="1:20" x14ac:dyDescent="0.35">
      <c r="A620" t="s">
        <v>2320</v>
      </c>
      <c r="B620" t="s">
        <v>2321</v>
      </c>
      <c r="C620" t="s">
        <v>2322</v>
      </c>
      <c r="D620">
        <v>44967</v>
      </c>
      <c r="E620" t="s">
        <v>34</v>
      </c>
      <c r="F620">
        <v>9380.0499999999993</v>
      </c>
      <c r="G620">
        <v>12759.48</v>
      </c>
      <c r="H620" t="s">
        <v>100</v>
      </c>
      <c r="I620">
        <v>53</v>
      </c>
      <c r="J620" t="s">
        <v>25</v>
      </c>
      <c r="K620" t="s">
        <v>26</v>
      </c>
      <c r="L620" t="s">
        <v>2080</v>
      </c>
      <c r="M620" t="s">
        <v>38</v>
      </c>
      <c r="N620" t="s">
        <v>62</v>
      </c>
      <c r="O620">
        <v>1.97</v>
      </c>
      <c r="P620">
        <v>34671.879999999997</v>
      </c>
      <c r="Q620">
        <v>26</v>
      </c>
      <c r="R620">
        <v>652</v>
      </c>
      <c r="S620">
        <v>3100.71</v>
      </c>
      <c r="T620" t="s">
        <v>63</v>
      </c>
    </row>
    <row r="621" spans="1:20" x14ac:dyDescent="0.35">
      <c r="A621" t="s">
        <v>2323</v>
      </c>
      <c r="B621" t="s">
        <v>2324</v>
      </c>
      <c r="C621" t="s">
        <v>2325</v>
      </c>
      <c r="D621">
        <v>44805</v>
      </c>
      <c r="E621" t="s">
        <v>71</v>
      </c>
      <c r="F621">
        <v>6072.59</v>
      </c>
      <c r="G621">
        <v>35796.5</v>
      </c>
      <c r="H621" t="s">
        <v>24</v>
      </c>
      <c r="I621">
        <v>61</v>
      </c>
      <c r="J621" t="s">
        <v>42</v>
      </c>
      <c r="K621" t="s">
        <v>36</v>
      </c>
      <c r="L621" t="s">
        <v>1407</v>
      </c>
      <c r="M621" t="s">
        <v>28</v>
      </c>
      <c r="N621" t="s">
        <v>62</v>
      </c>
      <c r="O621">
        <v>3.22</v>
      </c>
      <c r="P621">
        <v>19253.62</v>
      </c>
      <c r="R621">
        <v>624</v>
      </c>
      <c r="S621">
        <v>8039</v>
      </c>
      <c r="T621" t="s">
        <v>63</v>
      </c>
    </row>
    <row r="622" spans="1:20" x14ac:dyDescent="0.35">
      <c r="A622" t="s">
        <v>2326</v>
      </c>
      <c r="B622" t="s">
        <v>2327</v>
      </c>
      <c r="C622" t="s">
        <v>2328</v>
      </c>
      <c r="D622">
        <v>45056</v>
      </c>
      <c r="E622" t="s">
        <v>34</v>
      </c>
      <c r="F622">
        <v>4786.67</v>
      </c>
      <c r="G622">
        <v>14374.55</v>
      </c>
      <c r="H622" t="s">
        <v>125</v>
      </c>
      <c r="I622">
        <v>27</v>
      </c>
      <c r="J622" t="s">
        <v>42</v>
      </c>
      <c r="K622" t="s">
        <v>26</v>
      </c>
      <c r="L622" t="s">
        <v>2329</v>
      </c>
      <c r="M622" t="s">
        <v>38</v>
      </c>
      <c r="N622" t="s">
        <v>62</v>
      </c>
      <c r="O622">
        <v>4.18</v>
      </c>
      <c r="R622">
        <v>527</v>
      </c>
      <c r="S622">
        <v>11725.43</v>
      </c>
      <c r="T622" t="s">
        <v>45</v>
      </c>
    </row>
    <row r="623" spans="1:20" x14ac:dyDescent="0.35">
      <c r="A623" t="s">
        <v>2330</v>
      </c>
      <c r="B623" t="s">
        <v>1854</v>
      </c>
      <c r="C623" t="s">
        <v>2331</v>
      </c>
      <c r="D623">
        <v>44916</v>
      </c>
      <c r="E623" t="s">
        <v>23</v>
      </c>
      <c r="F623">
        <v>691.19</v>
      </c>
      <c r="G623">
        <v>17729.84</v>
      </c>
      <c r="H623" t="s">
        <v>100</v>
      </c>
      <c r="I623">
        <v>48</v>
      </c>
      <c r="J623" t="s">
        <v>42</v>
      </c>
      <c r="K623" t="s">
        <v>50</v>
      </c>
      <c r="L623" t="s">
        <v>1782</v>
      </c>
      <c r="M623" t="s">
        <v>28</v>
      </c>
      <c r="N623" t="s">
        <v>44</v>
      </c>
      <c r="O623">
        <v>1.02</v>
      </c>
      <c r="P623">
        <v>11131.34</v>
      </c>
      <c r="R623">
        <v>444</v>
      </c>
      <c r="S623">
        <v>4881.63</v>
      </c>
      <c r="T623" t="s">
        <v>30</v>
      </c>
    </row>
    <row r="624" spans="1:20" x14ac:dyDescent="0.35">
      <c r="A624" t="s">
        <v>2332</v>
      </c>
      <c r="B624" t="s">
        <v>2333</v>
      </c>
      <c r="C624" t="s">
        <v>2334</v>
      </c>
      <c r="D624">
        <v>44915</v>
      </c>
      <c r="E624" t="s">
        <v>56</v>
      </c>
      <c r="F624">
        <v>6749.26</v>
      </c>
      <c r="G624">
        <v>22990.16</v>
      </c>
      <c r="H624" t="s">
        <v>125</v>
      </c>
      <c r="I624">
        <v>23</v>
      </c>
      <c r="J624" t="s">
        <v>42</v>
      </c>
      <c r="K624" t="s">
        <v>50</v>
      </c>
      <c r="L624" t="s">
        <v>2335</v>
      </c>
      <c r="M624" t="s">
        <v>28</v>
      </c>
      <c r="N624" t="s">
        <v>62</v>
      </c>
      <c r="O624">
        <v>3.53</v>
      </c>
      <c r="Q624">
        <v>14</v>
      </c>
      <c r="R624">
        <v>607</v>
      </c>
      <c r="S624">
        <v>4859.0200000000004</v>
      </c>
      <c r="T624" t="s">
        <v>63</v>
      </c>
    </row>
    <row r="625" spans="1:20" x14ac:dyDescent="0.35">
      <c r="A625" t="s">
        <v>2336</v>
      </c>
      <c r="B625" t="s">
        <v>2337</v>
      </c>
      <c r="C625" t="s">
        <v>2338</v>
      </c>
      <c r="D625">
        <v>44566</v>
      </c>
      <c r="E625" t="s">
        <v>71</v>
      </c>
      <c r="F625">
        <v>5863.87</v>
      </c>
      <c r="G625">
        <v>45748.4</v>
      </c>
      <c r="H625" t="s">
        <v>24</v>
      </c>
      <c r="I625">
        <v>18</v>
      </c>
      <c r="J625" t="s">
        <v>25</v>
      </c>
      <c r="K625" t="s">
        <v>36</v>
      </c>
      <c r="L625" t="s">
        <v>1154</v>
      </c>
      <c r="M625" t="s">
        <v>28</v>
      </c>
      <c r="N625" t="s">
        <v>44</v>
      </c>
      <c r="O625">
        <v>3.39</v>
      </c>
      <c r="P625">
        <v>15915.97</v>
      </c>
      <c r="R625">
        <v>584</v>
      </c>
      <c r="S625">
        <v>14313.95</v>
      </c>
      <c r="T625" t="s">
        <v>30</v>
      </c>
    </row>
    <row r="626" spans="1:20" x14ac:dyDescent="0.35">
      <c r="A626" t="s">
        <v>2339</v>
      </c>
      <c r="B626" t="s">
        <v>2340</v>
      </c>
      <c r="C626" t="s">
        <v>2341</v>
      </c>
      <c r="D626">
        <v>45109</v>
      </c>
      <c r="E626" t="s">
        <v>34</v>
      </c>
      <c r="F626">
        <v>9903.07</v>
      </c>
      <c r="G626">
        <v>10280.280000000001</v>
      </c>
      <c r="H626" t="s">
        <v>125</v>
      </c>
      <c r="I626">
        <v>24</v>
      </c>
      <c r="J626" t="s">
        <v>25</v>
      </c>
      <c r="K626" t="s">
        <v>36</v>
      </c>
      <c r="L626" t="s">
        <v>1746</v>
      </c>
      <c r="M626" t="s">
        <v>38</v>
      </c>
      <c r="N626" t="s">
        <v>44</v>
      </c>
      <c r="O626">
        <v>2.27</v>
      </c>
      <c r="Q626">
        <v>22</v>
      </c>
      <c r="R626">
        <v>691</v>
      </c>
      <c r="S626">
        <v>14404</v>
      </c>
      <c r="T626" t="s">
        <v>30</v>
      </c>
    </row>
    <row r="627" spans="1:20" x14ac:dyDescent="0.35">
      <c r="A627" t="s">
        <v>2342</v>
      </c>
      <c r="B627" t="s">
        <v>2343</v>
      </c>
      <c r="C627" t="s">
        <v>2344</v>
      </c>
      <c r="D627">
        <v>44996</v>
      </c>
      <c r="E627" t="s">
        <v>34</v>
      </c>
      <c r="F627">
        <v>2467.67</v>
      </c>
      <c r="G627">
        <v>1246.3</v>
      </c>
      <c r="H627" t="s">
        <v>100</v>
      </c>
      <c r="I627">
        <v>44</v>
      </c>
      <c r="J627" t="s">
        <v>25</v>
      </c>
      <c r="K627" t="s">
        <v>26</v>
      </c>
      <c r="L627" t="s">
        <v>2345</v>
      </c>
      <c r="M627" t="s">
        <v>52</v>
      </c>
      <c r="N627" t="s">
        <v>62</v>
      </c>
      <c r="O627">
        <v>2.81</v>
      </c>
      <c r="P627">
        <v>47758.13</v>
      </c>
      <c r="R627">
        <v>659</v>
      </c>
      <c r="S627">
        <v>14876.05</v>
      </c>
      <c r="T627" t="s">
        <v>30</v>
      </c>
    </row>
    <row r="628" spans="1:20" x14ac:dyDescent="0.35">
      <c r="A628" t="s">
        <v>2346</v>
      </c>
      <c r="B628" t="s">
        <v>2347</v>
      </c>
      <c r="C628" t="s">
        <v>2348</v>
      </c>
      <c r="D628">
        <v>44819</v>
      </c>
      <c r="E628" t="s">
        <v>34</v>
      </c>
      <c r="F628">
        <v>5354.3</v>
      </c>
      <c r="G628">
        <v>3944.72</v>
      </c>
      <c r="H628" t="s">
        <v>100</v>
      </c>
      <c r="I628">
        <v>38</v>
      </c>
      <c r="J628" t="s">
        <v>25</v>
      </c>
      <c r="K628" t="s">
        <v>26</v>
      </c>
      <c r="L628" t="s">
        <v>473</v>
      </c>
      <c r="M628" t="s">
        <v>52</v>
      </c>
      <c r="N628" t="s">
        <v>62</v>
      </c>
      <c r="O628">
        <v>1.99</v>
      </c>
      <c r="Q628">
        <v>27</v>
      </c>
      <c r="R628">
        <v>464</v>
      </c>
      <c r="S628">
        <v>12499.57</v>
      </c>
      <c r="T628" t="s">
        <v>30</v>
      </c>
    </row>
    <row r="629" spans="1:20" x14ac:dyDescent="0.35">
      <c r="A629" t="s">
        <v>2349</v>
      </c>
      <c r="B629" t="s">
        <v>2350</v>
      </c>
      <c r="C629" t="s">
        <v>2351</v>
      </c>
      <c r="D629">
        <v>44585</v>
      </c>
      <c r="E629" t="s">
        <v>23</v>
      </c>
      <c r="F629">
        <v>6544.48</v>
      </c>
      <c r="G629">
        <v>45333.55</v>
      </c>
      <c r="H629" t="s">
        <v>125</v>
      </c>
      <c r="I629">
        <v>45</v>
      </c>
      <c r="J629" t="s">
        <v>42</v>
      </c>
      <c r="K629" t="s">
        <v>50</v>
      </c>
      <c r="L629" t="s">
        <v>2293</v>
      </c>
      <c r="M629" t="s">
        <v>52</v>
      </c>
      <c r="N629" t="s">
        <v>44</v>
      </c>
      <c r="O629">
        <v>4.16</v>
      </c>
      <c r="Q629">
        <v>1</v>
      </c>
      <c r="R629">
        <v>523</v>
      </c>
      <c r="S629">
        <v>4446.3900000000003</v>
      </c>
      <c r="T629" t="s">
        <v>63</v>
      </c>
    </row>
    <row r="630" spans="1:20" x14ac:dyDescent="0.35">
      <c r="A630" t="s">
        <v>2352</v>
      </c>
      <c r="B630" t="s">
        <v>1270</v>
      </c>
      <c r="C630" t="s">
        <v>2353</v>
      </c>
      <c r="D630">
        <v>44663</v>
      </c>
      <c r="E630" t="s">
        <v>23</v>
      </c>
      <c r="F630">
        <v>6481.45</v>
      </c>
      <c r="G630">
        <v>32728.31</v>
      </c>
      <c r="H630" t="s">
        <v>49</v>
      </c>
      <c r="I630">
        <v>33</v>
      </c>
      <c r="J630" t="s">
        <v>42</v>
      </c>
      <c r="K630" t="s">
        <v>26</v>
      </c>
      <c r="L630" t="s">
        <v>2354</v>
      </c>
      <c r="M630" t="s">
        <v>52</v>
      </c>
      <c r="N630" t="s">
        <v>29</v>
      </c>
      <c r="O630">
        <v>3.54</v>
      </c>
      <c r="P630">
        <v>47732.1</v>
      </c>
      <c r="R630">
        <v>423</v>
      </c>
      <c r="S630">
        <v>4755.76</v>
      </c>
      <c r="T630" t="s">
        <v>45</v>
      </c>
    </row>
    <row r="631" spans="1:20" x14ac:dyDescent="0.35">
      <c r="A631" t="s">
        <v>2355</v>
      </c>
      <c r="B631" t="s">
        <v>2356</v>
      </c>
      <c r="C631" t="s">
        <v>2357</v>
      </c>
      <c r="D631">
        <v>45148</v>
      </c>
      <c r="E631" t="s">
        <v>71</v>
      </c>
      <c r="F631">
        <v>5656.81</v>
      </c>
      <c r="G631">
        <v>14378.99</v>
      </c>
      <c r="H631" t="s">
        <v>24</v>
      </c>
      <c r="I631">
        <v>63</v>
      </c>
      <c r="J631" t="s">
        <v>25</v>
      </c>
      <c r="K631" t="s">
        <v>50</v>
      </c>
      <c r="L631" t="s">
        <v>2358</v>
      </c>
      <c r="M631" t="s">
        <v>52</v>
      </c>
      <c r="N631" t="s">
        <v>29</v>
      </c>
      <c r="O631">
        <v>3.13</v>
      </c>
      <c r="Q631">
        <v>21</v>
      </c>
      <c r="R631">
        <v>643</v>
      </c>
      <c r="S631">
        <v>6422.93</v>
      </c>
      <c r="T631" t="s">
        <v>45</v>
      </c>
    </row>
    <row r="632" spans="1:20" x14ac:dyDescent="0.35">
      <c r="A632" t="s">
        <v>2359</v>
      </c>
      <c r="B632" t="s">
        <v>2360</v>
      </c>
      <c r="C632" t="s">
        <v>2361</v>
      </c>
      <c r="D632">
        <v>45034</v>
      </c>
      <c r="E632" t="s">
        <v>71</v>
      </c>
      <c r="F632">
        <v>7791.59</v>
      </c>
      <c r="G632">
        <v>9682.43</v>
      </c>
      <c r="H632" t="s">
        <v>24</v>
      </c>
      <c r="I632">
        <v>40</v>
      </c>
      <c r="J632" t="s">
        <v>25</v>
      </c>
      <c r="K632" t="s">
        <v>36</v>
      </c>
      <c r="L632" t="s">
        <v>1110</v>
      </c>
      <c r="M632" t="s">
        <v>38</v>
      </c>
      <c r="N632" t="s">
        <v>44</v>
      </c>
      <c r="O632">
        <v>2.57</v>
      </c>
      <c r="P632">
        <v>9269.18</v>
      </c>
      <c r="Q632">
        <v>20</v>
      </c>
      <c r="R632">
        <v>823</v>
      </c>
      <c r="S632">
        <v>6135.72</v>
      </c>
      <c r="T632" t="s">
        <v>63</v>
      </c>
    </row>
    <row r="633" spans="1:20" x14ac:dyDescent="0.35">
      <c r="A633" t="s">
        <v>2362</v>
      </c>
      <c r="B633" t="s">
        <v>2363</v>
      </c>
      <c r="C633" t="s">
        <v>2364</v>
      </c>
      <c r="D633">
        <v>44962</v>
      </c>
      <c r="E633" t="s">
        <v>23</v>
      </c>
      <c r="F633">
        <v>2129.31</v>
      </c>
      <c r="G633">
        <v>15419.07</v>
      </c>
      <c r="H633" t="s">
        <v>125</v>
      </c>
      <c r="I633">
        <v>69</v>
      </c>
      <c r="J633" t="s">
        <v>25</v>
      </c>
      <c r="K633" t="s">
        <v>26</v>
      </c>
      <c r="L633" t="s">
        <v>2091</v>
      </c>
      <c r="M633" t="s">
        <v>38</v>
      </c>
      <c r="N633" t="s">
        <v>62</v>
      </c>
      <c r="O633">
        <v>2.17</v>
      </c>
      <c r="R633">
        <v>351</v>
      </c>
      <c r="S633">
        <v>14434.86</v>
      </c>
      <c r="T633" t="s">
        <v>63</v>
      </c>
    </row>
    <row r="634" spans="1:20" x14ac:dyDescent="0.35">
      <c r="A634" t="s">
        <v>2365</v>
      </c>
      <c r="B634" t="s">
        <v>2366</v>
      </c>
      <c r="C634" t="s">
        <v>2367</v>
      </c>
      <c r="D634">
        <v>44727</v>
      </c>
      <c r="E634" t="s">
        <v>71</v>
      </c>
      <c r="F634">
        <v>7283.71</v>
      </c>
      <c r="G634">
        <v>6625.05</v>
      </c>
      <c r="H634" t="s">
        <v>49</v>
      </c>
      <c r="I634">
        <v>37</v>
      </c>
      <c r="J634" t="s">
        <v>25</v>
      </c>
      <c r="K634" t="s">
        <v>36</v>
      </c>
      <c r="L634" t="s">
        <v>2368</v>
      </c>
      <c r="M634" t="s">
        <v>38</v>
      </c>
      <c r="N634" t="s">
        <v>44</v>
      </c>
      <c r="O634">
        <v>4.29</v>
      </c>
      <c r="Q634">
        <v>7</v>
      </c>
      <c r="R634">
        <v>428</v>
      </c>
      <c r="S634">
        <v>12257.96</v>
      </c>
      <c r="T634" t="s">
        <v>30</v>
      </c>
    </row>
    <row r="635" spans="1:20" x14ac:dyDescent="0.35">
      <c r="A635" t="s">
        <v>2369</v>
      </c>
      <c r="B635" t="s">
        <v>2370</v>
      </c>
      <c r="C635" t="s">
        <v>2371</v>
      </c>
      <c r="D635">
        <v>44982</v>
      </c>
      <c r="E635" t="s">
        <v>56</v>
      </c>
      <c r="F635">
        <v>6235.37</v>
      </c>
      <c r="G635">
        <v>47135.11</v>
      </c>
      <c r="H635" t="s">
        <v>100</v>
      </c>
      <c r="I635">
        <v>55</v>
      </c>
      <c r="J635" t="s">
        <v>25</v>
      </c>
      <c r="K635" t="s">
        <v>26</v>
      </c>
      <c r="L635" t="s">
        <v>2372</v>
      </c>
      <c r="M635" t="s">
        <v>38</v>
      </c>
      <c r="N635" t="s">
        <v>44</v>
      </c>
      <c r="O635">
        <v>2.81</v>
      </c>
      <c r="Q635">
        <v>9</v>
      </c>
      <c r="R635">
        <v>434</v>
      </c>
      <c r="S635">
        <v>11412.11</v>
      </c>
      <c r="T635" t="s">
        <v>30</v>
      </c>
    </row>
    <row r="636" spans="1:20" x14ac:dyDescent="0.35">
      <c r="A636" t="s">
        <v>2373</v>
      </c>
      <c r="B636" t="s">
        <v>2374</v>
      </c>
      <c r="C636" t="s">
        <v>2375</v>
      </c>
      <c r="D636">
        <v>44700</v>
      </c>
      <c r="E636" t="s">
        <v>56</v>
      </c>
      <c r="F636">
        <v>8971.14</v>
      </c>
      <c r="G636">
        <v>39426.1</v>
      </c>
      <c r="H636" t="s">
        <v>35</v>
      </c>
      <c r="I636">
        <v>42</v>
      </c>
      <c r="J636" t="s">
        <v>42</v>
      </c>
      <c r="K636" t="s">
        <v>50</v>
      </c>
      <c r="L636" t="s">
        <v>2376</v>
      </c>
      <c r="M636" t="s">
        <v>38</v>
      </c>
      <c r="N636" t="s">
        <v>62</v>
      </c>
      <c r="O636">
        <v>3.01</v>
      </c>
      <c r="Q636">
        <v>8</v>
      </c>
      <c r="R636">
        <v>426</v>
      </c>
      <c r="S636">
        <v>4417.5200000000004</v>
      </c>
      <c r="T636" t="s">
        <v>63</v>
      </c>
    </row>
    <row r="637" spans="1:20" x14ac:dyDescent="0.35">
      <c r="A637" t="s">
        <v>2377</v>
      </c>
      <c r="B637" t="s">
        <v>2378</v>
      </c>
      <c r="C637" t="s">
        <v>2379</v>
      </c>
      <c r="D637">
        <v>44997</v>
      </c>
      <c r="E637" t="s">
        <v>23</v>
      </c>
      <c r="F637">
        <v>8487.2199999999993</v>
      </c>
      <c r="G637">
        <v>23657.17</v>
      </c>
      <c r="H637" t="s">
        <v>35</v>
      </c>
      <c r="I637">
        <v>45</v>
      </c>
      <c r="J637" t="s">
        <v>42</v>
      </c>
      <c r="K637" t="s">
        <v>36</v>
      </c>
      <c r="L637" t="s">
        <v>150</v>
      </c>
      <c r="M637" t="s">
        <v>38</v>
      </c>
      <c r="N637" t="s">
        <v>29</v>
      </c>
      <c r="O637">
        <v>3.08</v>
      </c>
      <c r="R637">
        <v>370</v>
      </c>
      <c r="S637">
        <v>13823.83</v>
      </c>
      <c r="T637" t="s">
        <v>45</v>
      </c>
    </row>
    <row r="638" spans="1:20" x14ac:dyDescent="0.35">
      <c r="A638" t="s">
        <v>2380</v>
      </c>
      <c r="B638" t="s">
        <v>2381</v>
      </c>
      <c r="C638" t="s">
        <v>2382</v>
      </c>
      <c r="D638">
        <v>45092</v>
      </c>
      <c r="E638" t="s">
        <v>71</v>
      </c>
      <c r="F638">
        <v>3219.96</v>
      </c>
      <c r="G638">
        <v>43383.17</v>
      </c>
      <c r="H638" t="s">
        <v>125</v>
      </c>
      <c r="I638">
        <v>22</v>
      </c>
      <c r="J638" t="s">
        <v>25</v>
      </c>
      <c r="K638" t="s">
        <v>36</v>
      </c>
      <c r="L638" t="s">
        <v>1264</v>
      </c>
      <c r="M638" t="s">
        <v>38</v>
      </c>
      <c r="N638" t="s">
        <v>44</v>
      </c>
      <c r="O638">
        <v>2.79</v>
      </c>
      <c r="R638">
        <v>572</v>
      </c>
      <c r="S638">
        <v>12762.31</v>
      </c>
      <c r="T638" t="s">
        <v>30</v>
      </c>
    </row>
    <row r="639" spans="1:20" x14ac:dyDescent="0.35">
      <c r="A639" t="s">
        <v>2383</v>
      </c>
      <c r="B639" t="s">
        <v>2384</v>
      </c>
      <c r="C639" t="s">
        <v>2385</v>
      </c>
      <c r="D639">
        <v>45005</v>
      </c>
      <c r="E639" t="s">
        <v>34</v>
      </c>
      <c r="F639">
        <v>2834.75</v>
      </c>
      <c r="G639">
        <v>13223.45</v>
      </c>
      <c r="H639" t="s">
        <v>49</v>
      </c>
      <c r="I639">
        <v>38</v>
      </c>
      <c r="J639" t="s">
        <v>25</v>
      </c>
      <c r="K639" t="s">
        <v>26</v>
      </c>
      <c r="L639" t="s">
        <v>2386</v>
      </c>
      <c r="M639" t="s">
        <v>52</v>
      </c>
      <c r="N639" t="s">
        <v>29</v>
      </c>
      <c r="O639">
        <v>2.02</v>
      </c>
      <c r="R639">
        <v>486</v>
      </c>
      <c r="S639">
        <v>4127.34</v>
      </c>
      <c r="T639" t="s">
        <v>63</v>
      </c>
    </row>
    <row r="640" spans="1:20" x14ac:dyDescent="0.35">
      <c r="A640" t="s">
        <v>2387</v>
      </c>
      <c r="B640" t="s">
        <v>2388</v>
      </c>
      <c r="C640" t="s">
        <v>2389</v>
      </c>
      <c r="D640">
        <v>45071</v>
      </c>
      <c r="E640" t="s">
        <v>56</v>
      </c>
      <c r="F640">
        <v>9818.3700000000008</v>
      </c>
      <c r="G640">
        <v>36138.910000000003</v>
      </c>
      <c r="H640" t="s">
        <v>49</v>
      </c>
      <c r="I640">
        <v>35</v>
      </c>
      <c r="J640" t="s">
        <v>25</v>
      </c>
      <c r="K640" t="s">
        <v>36</v>
      </c>
      <c r="L640" t="s">
        <v>1645</v>
      </c>
      <c r="M640" t="s">
        <v>28</v>
      </c>
      <c r="N640" t="s">
        <v>29</v>
      </c>
      <c r="O640">
        <v>1.48</v>
      </c>
      <c r="P640">
        <v>29877.37</v>
      </c>
      <c r="R640">
        <v>302</v>
      </c>
      <c r="S640">
        <v>13325.21</v>
      </c>
      <c r="T640" t="s">
        <v>63</v>
      </c>
    </row>
    <row r="641" spans="1:20" x14ac:dyDescent="0.35">
      <c r="A641" t="s">
        <v>2390</v>
      </c>
      <c r="B641" t="s">
        <v>2391</v>
      </c>
      <c r="C641" t="s">
        <v>2392</v>
      </c>
      <c r="D641">
        <v>44571</v>
      </c>
      <c r="E641" t="s">
        <v>23</v>
      </c>
      <c r="F641">
        <v>5319.93</v>
      </c>
      <c r="G641">
        <v>42950.49</v>
      </c>
      <c r="H641" t="s">
        <v>24</v>
      </c>
      <c r="I641">
        <v>64</v>
      </c>
      <c r="J641" t="s">
        <v>42</v>
      </c>
      <c r="K641" t="s">
        <v>50</v>
      </c>
      <c r="L641" t="s">
        <v>351</v>
      </c>
      <c r="M641" t="s">
        <v>38</v>
      </c>
      <c r="N641" t="s">
        <v>62</v>
      </c>
      <c r="O641">
        <v>1.39</v>
      </c>
      <c r="P641">
        <v>6125.68</v>
      </c>
      <c r="R641">
        <v>584</v>
      </c>
      <c r="S641">
        <v>5539.22</v>
      </c>
      <c r="T641" t="s">
        <v>63</v>
      </c>
    </row>
    <row r="642" spans="1:20" x14ac:dyDescent="0.35">
      <c r="A642" t="s">
        <v>2393</v>
      </c>
      <c r="B642" t="s">
        <v>2394</v>
      </c>
      <c r="C642" t="s">
        <v>2395</v>
      </c>
      <c r="D642">
        <v>45136</v>
      </c>
      <c r="E642" t="s">
        <v>71</v>
      </c>
      <c r="F642">
        <v>9073.57</v>
      </c>
      <c r="G642">
        <v>18481.669999999998</v>
      </c>
      <c r="H642" t="s">
        <v>100</v>
      </c>
      <c r="I642">
        <v>23</v>
      </c>
      <c r="J642" t="s">
        <v>42</v>
      </c>
      <c r="K642" t="s">
        <v>36</v>
      </c>
      <c r="L642" t="s">
        <v>2396</v>
      </c>
      <c r="M642" t="s">
        <v>28</v>
      </c>
      <c r="N642" t="s">
        <v>44</v>
      </c>
      <c r="O642">
        <v>4.03</v>
      </c>
      <c r="R642">
        <v>321</v>
      </c>
      <c r="S642">
        <v>3051.31</v>
      </c>
      <c r="T642" t="s">
        <v>30</v>
      </c>
    </row>
    <row r="643" spans="1:20" x14ac:dyDescent="0.35">
      <c r="A643" t="s">
        <v>2397</v>
      </c>
      <c r="B643" t="s">
        <v>2398</v>
      </c>
      <c r="C643" t="s">
        <v>2399</v>
      </c>
      <c r="D643">
        <v>45060</v>
      </c>
      <c r="E643" t="s">
        <v>23</v>
      </c>
      <c r="F643">
        <v>1722.42</v>
      </c>
      <c r="G643">
        <v>38115.760000000002</v>
      </c>
      <c r="H643" t="s">
        <v>49</v>
      </c>
      <c r="I643">
        <v>46</v>
      </c>
      <c r="J643" t="s">
        <v>42</v>
      </c>
      <c r="K643" t="s">
        <v>36</v>
      </c>
      <c r="L643" t="s">
        <v>2400</v>
      </c>
      <c r="M643" t="s">
        <v>38</v>
      </c>
      <c r="N643" t="s">
        <v>44</v>
      </c>
      <c r="O643">
        <v>1.89</v>
      </c>
      <c r="R643">
        <v>465</v>
      </c>
      <c r="S643">
        <v>10538.69</v>
      </c>
      <c r="T643" t="s">
        <v>63</v>
      </c>
    </row>
    <row r="644" spans="1:20" x14ac:dyDescent="0.35">
      <c r="A644" t="s">
        <v>2401</v>
      </c>
      <c r="B644" t="s">
        <v>2402</v>
      </c>
      <c r="C644" t="s">
        <v>2403</v>
      </c>
      <c r="D644">
        <v>44864</v>
      </c>
      <c r="E644" t="s">
        <v>34</v>
      </c>
      <c r="F644">
        <v>6463.91</v>
      </c>
      <c r="G644">
        <v>15458.55</v>
      </c>
      <c r="H644" t="s">
        <v>35</v>
      </c>
      <c r="I644">
        <v>36</v>
      </c>
      <c r="J644" t="s">
        <v>25</v>
      </c>
      <c r="K644" t="s">
        <v>26</v>
      </c>
      <c r="L644" t="s">
        <v>1852</v>
      </c>
      <c r="M644" t="s">
        <v>38</v>
      </c>
      <c r="N644" t="s">
        <v>29</v>
      </c>
      <c r="O644">
        <v>1.22</v>
      </c>
      <c r="R644">
        <v>609</v>
      </c>
      <c r="S644">
        <v>10499.46</v>
      </c>
      <c r="T644" t="s">
        <v>45</v>
      </c>
    </row>
    <row r="645" spans="1:20" x14ac:dyDescent="0.35">
      <c r="A645" t="s">
        <v>2404</v>
      </c>
      <c r="B645" t="s">
        <v>2405</v>
      </c>
      <c r="C645" t="s">
        <v>2406</v>
      </c>
      <c r="D645">
        <v>44743</v>
      </c>
      <c r="E645" t="s">
        <v>56</v>
      </c>
      <c r="F645">
        <v>8117.62</v>
      </c>
      <c r="G645">
        <v>15644</v>
      </c>
      <c r="H645" t="s">
        <v>100</v>
      </c>
      <c r="I645">
        <v>50</v>
      </c>
      <c r="J645" t="s">
        <v>42</v>
      </c>
      <c r="K645" t="s">
        <v>36</v>
      </c>
      <c r="L645" t="s">
        <v>2407</v>
      </c>
      <c r="M645" t="s">
        <v>52</v>
      </c>
      <c r="N645" t="s">
        <v>29</v>
      </c>
      <c r="O645">
        <v>4.1900000000000004</v>
      </c>
      <c r="P645">
        <v>43545.57</v>
      </c>
      <c r="Q645">
        <v>16</v>
      </c>
      <c r="R645">
        <v>776</v>
      </c>
      <c r="S645">
        <v>3234.12</v>
      </c>
      <c r="T645" t="s">
        <v>63</v>
      </c>
    </row>
    <row r="646" spans="1:20" x14ac:dyDescent="0.35">
      <c r="A646" t="s">
        <v>2408</v>
      </c>
      <c r="B646" t="s">
        <v>2409</v>
      </c>
      <c r="C646" t="s">
        <v>2410</v>
      </c>
      <c r="D646">
        <v>45132</v>
      </c>
      <c r="E646" t="s">
        <v>23</v>
      </c>
      <c r="F646">
        <v>9479.2099999999991</v>
      </c>
      <c r="G646">
        <v>6245.8</v>
      </c>
      <c r="H646" t="s">
        <v>100</v>
      </c>
      <c r="I646">
        <v>18</v>
      </c>
      <c r="J646" t="s">
        <v>25</v>
      </c>
      <c r="K646" t="s">
        <v>26</v>
      </c>
      <c r="L646" t="s">
        <v>1318</v>
      </c>
      <c r="M646" t="s">
        <v>28</v>
      </c>
      <c r="N646" t="s">
        <v>62</v>
      </c>
      <c r="O646">
        <v>1.62</v>
      </c>
      <c r="Q646">
        <v>29</v>
      </c>
      <c r="R646">
        <v>797</v>
      </c>
      <c r="S646">
        <v>6145.07</v>
      </c>
      <c r="T646" t="s">
        <v>30</v>
      </c>
    </row>
    <row r="647" spans="1:20" x14ac:dyDescent="0.35">
      <c r="A647" t="s">
        <v>2411</v>
      </c>
      <c r="B647" t="s">
        <v>2412</v>
      </c>
      <c r="C647" t="s">
        <v>2413</v>
      </c>
      <c r="D647">
        <v>44645</v>
      </c>
      <c r="E647" t="s">
        <v>23</v>
      </c>
      <c r="F647">
        <v>3439.67</v>
      </c>
      <c r="G647">
        <v>22562.84</v>
      </c>
      <c r="H647" t="s">
        <v>125</v>
      </c>
      <c r="I647">
        <v>62</v>
      </c>
      <c r="J647" t="s">
        <v>42</v>
      </c>
      <c r="K647" t="s">
        <v>26</v>
      </c>
      <c r="L647" t="s">
        <v>2414</v>
      </c>
      <c r="M647" t="s">
        <v>52</v>
      </c>
      <c r="N647" t="s">
        <v>29</v>
      </c>
      <c r="O647">
        <v>3.5</v>
      </c>
      <c r="P647">
        <v>40244.97</v>
      </c>
      <c r="Q647">
        <v>11</v>
      </c>
      <c r="R647">
        <v>733</v>
      </c>
      <c r="S647">
        <v>14906.59</v>
      </c>
      <c r="T647" t="s">
        <v>45</v>
      </c>
    </row>
    <row r="648" spans="1:20" x14ac:dyDescent="0.35">
      <c r="A648" t="s">
        <v>2415</v>
      </c>
      <c r="B648" t="s">
        <v>2416</v>
      </c>
      <c r="C648" t="s">
        <v>2417</v>
      </c>
      <c r="D648">
        <v>44886</v>
      </c>
      <c r="E648" t="s">
        <v>23</v>
      </c>
      <c r="F648">
        <v>7277.31</v>
      </c>
      <c r="G648">
        <v>36755.879999999997</v>
      </c>
      <c r="H648" t="s">
        <v>49</v>
      </c>
      <c r="I648">
        <v>20</v>
      </c>
      <c r="J648" t="s">
        <v>42</v>
      </c>
      <c r="K648" t="s">
        <v>36</v>
      </c>
      <c r="L648" t="s">
        <v>2418</v>
      </c>
      <c r="M648" t="s">
        <v>52</v>
      </c>
      <c r="N648" t="s">
        <v>62</v>
      </c>
      <c r="O648">
        <v>2.35</v>
      </c>
      <c r="Q648">
        <v>16</v>
      </c>
      <c r="R648">
        <v>533</v>
      </c>
      <c r="S648">
        <v>10819.55</v>
      </c>
      <c r="T648" t="s">
        <v>45</v>
      </c>
    </row>
    <row r="649" spans="1:20" x14ac:dyDescent="0.35">
      <c r="A649" t="s">
        <v>2419</v>
      </c>
      <c r="B649" t="s">
        <v>2420</v>
      </c>
      <c r="C649" t="s">
        <v>2421</v>
      </c>
      <c r="D649">
        <v>44573</v>
      </c>
      <c r="E649" t="s">
        <v>34</v>
      </c>
      <c r="F649">
        <v>5434.25</v>
      </c>
      <c r="G649">
        <v>47070.82</v>
      </c>
      <c r="H649" t="s">
        <v>125</v>
      </c>
      <c r="I649">
        <v>59</v>
      </c>
      <c r="J649" t="s">
        <v>42</v>
      </c>
      <c r="K649" t="s">
        <v>50</v>
      </c>
      <c r="L649" t="s">
        <v>2422</v>
      </c>
      <c r="M649" t="s">
        <v>28</v>
      </c>
      <c r="N649" t="s">
        <v>44</v>
      </c>
      <c r="O649">
        <v>1.51</v>
      </c>
      <c r="R649">
        <v>675</v>
      </c>
      <c r="S649">
        <v>11490.98</v>
      </c>
      <c r="T649" t="s">
        <v>63</v>
      </c>
    </row>
    <row r="650" spans="1:20" x14ac:dyDescent="0.35">
      <c r="A650" t="s">
        <v>2423</v>
      </c>
      <c r="B650" t="s">
        <v>2424</v>
      </c>
      <c r="C650" t="s">
        <v>2425</v>
      </c>
      <c r="D650">
        <v>44745</v>
      </c>
      <c r="E650" t="s">
        <v>23</v>
      </c>
      <c r="F650">
        <v>700.23</v>
      </c>
      <c r="G650">
        <v>30586.05</v>
      </c>
      <c r="H650" t="s">
        <v>49</v>
      </c>
      <c r="I650">
        <v>38</v>
      </c>
      <c r="J650" t="s">
        <v>25</v>
      </c>
      <c r="K650" t="s">
        <v>26</v>
      </c>
      <c r="L650" t="s">
        <v>2277</v>
      </c>
      <c r="M650" t="s">
        <v>52</v>
      </c>
      <c r="N650" t="s">
        <v>62</v>
      </c>
      <c r="O650">
        <v>2.66</v>
      </c>
      <c r="Q650">
        <v>3</v>
      </c>
      <c r="R650">
        <v>545</v>
      </c>
      <c r="S650">
        <v>4767.92</v>
      </c>
      <c r="T650" t="s">
        <v>63</v>
      </c>
    </row>
    <row r="651" spans="1:20" x14ac:dyDescent="0.35">
      <c r="A651" t="s">
        <v>2426</v>
      </c>
      <c r="B651" t="s">
        <v>2427</v>
      </c>
      <c r="C651" t="s">
        <v>2428</v>
      </c>
      <c r="D651">
        <v>44750</v>
      </c>
      <c r="E651" t="s">
        <v>34</v>
      </c>
      <c r="F651">
        <v>6931</v>
      </c>
      <c r="G651">
        <v>43293.64</v>
      </c>
      <c r="H651" t="s">
        <v>24</v>
      </c>
      <c r="I651">
        <v>52</v>
      </c>
      <c r="J651" t="s">
        <v>25</v>
      </c>
      <c r="K651" t="s">
        <v>36</v>
      </c>
      <c r="L651" t="s">
        <v>2429</v>
      </c>
      <c r="M651" t="s">
        <v>38</v>
      </c>
      <c r="N651" t="s">
        <v>29</v>
      </c>
      <c r="O651">
        <v>1.06</v>
      </c>
      <c r="Q651">
        <v>21</v>
      </c>
      <c r="R651">
        <v>602</v>
      </c>
      <c r="S651">
        <v>3024.17</v>
      </c>
      <c r="T651" t="s">
        <v>45</v>
      </c>
    </row>
    <row r="652" spans="1:20" x14ac:dyDescent="0.35">
      <c r="A652" t="s">
        <v>2430</v>
      </c>
      <c r="B652" t="s">
        <v>2431</v>
      </c>
      <c r="C652" t="s">
        <v>2432</v>
      </c>
      <c r="D652">
        <v>44779</v>
      </c>
      <c r="E652" t="s">
        <v>34</v>
      </c>
      <c r="F652">
        <v>6931.96</v>
      </c>
      <c r="G652">
        <v>41302.239999999998</v>
      </c>
      <c r="H652" t="s">
        <v>125</v>
      </c>
      <c r="I652">
        <v>58</v>
      </c>
      <c r="J652" t="s">
        <v>42</v>
      </c>
      <c r="K652" t="s">
        <v>26</v>
      </c>
      <c r="L652" t="s">
        <v>2433</v>
      </c>
      <c r="M652" t="s">
        <v>38</v>
      </c>
      <c r="N652" t="s">
        <v>44</v>
      </c>
      <c r="O652">
        <v>4.3600000000000003</v>
      </c>
      <c r="Q652">
        <v>2</v>
      </c>
      <c r="R652">
        <v>704</v>
      </c>
      <c r="S652">
        <v>5599.72</v>
      </c>
      <c r="T652" t="s">
        <v>63</v>
      </c>
    </row>
    <row r="653" spans="1:20" x14ac:dyDescent="0.35">
      <c r="A653" t="s">
        <v>2434</v>
      </c>
      <c r="B653" t="s">
        <v>2435</v>
      </c>
      <c r="C653" t="s">
        <v>2436</v>
      </c>
      <c r="D653">
        <v>44820</v>
      </c>
      <c r="E653" t="s">
        <v>34</v>
      </c>
      <c r="F653">
        <v>9313.01</v>
      </c>
      <c r="G653">
        <v>9493.81</v>
      </c>
      <c r="H653" t="s">
        <v>125</v>
      </c>
      <c r="I653">
        <v>57</v>
      </c>
      <c r="J653" t="s">
        <v>25</v>
      </c>
      <c r="K653" t="s">
        <v>50</v>
      </c>
      <c r="L653" t="s">
        <v>210</v>
      </c>
      <c r="M653" t="s">
        <v>38</v>
      </c>
      <c r="N653" t="s">
        <v>62</v>
      </c>
      <c r="O653">
        <v>3.05</v>
      </c>
      <c r="P653">
        <v>38845.53</v>
      </c>
      <c r="Q653">
        <v>3</v>
      </c>
      <c r="R653">
        <v>320</v>
      </c>
      <c r="S653">
        <v>5235.68</v>
      </c>
      <c r="T653" t="s">
        <v>30</v>
      </c>
    </row>
    <row r="654" spans="1:20" x14ac:dyDescent="0.35">
      <c r="A654" t="s">
        <v>2437</v>
      </c>
      <c r="B654" t="s">
        <v>2438</v>
      </c>
      <c r="C654" t="s">
        <v>2439</v>
      </c>
      <c r="D654">
        <v>44737</v>
      </c>
      <c r="E654" t="s">
        <v>56</v>
      </c>
      <c r="F654">
        <v>5023.3900000000003</v>
      </c>
      <c r="G654">
        <v>24805.05</v>
      </c>
      <c r="H654" t="s">
        <v>35</v>
      </c>
      <c r="I654">
        <v>20</v>
      </c>
      <c r="J654" t="s">
        <v>25</v>
      </c>
      <c r="K654" t="s">
        <v>50</v>
      </c>
      <c r="L654" t="s">
        <v>686</v>
      </c>
      <c r="M654" t="s">
        <v>38</v>
      </c>
      <c r="N654" t="s">
        <v>44</v>
      </c>
      <c r="O654">
        <v>1.56</v>
      </c>
      <c r="Q654">
        <v>4</v>
      </c>
      <c r="R654">
        <v>556</v>
      </c>
      <c r="S654">
        <v>5049.07</v>
      </c>
      <c r="T654" t="s">
        <v>45</v>
      </c>
    </row>
    <row r="655" spans="1:20" x14ac:dyDescent="0.35">
      <c r="A655" t="s">
        <v>2440</v>
      </c>
      <c r="B655" t="s">
        <v>2441</v>
      </c>
      <c r="C655" t="s">
        <v>2442</v>
      </c>
      <c r="D655">
        <v>44758</v>
      </c>
      <c r="E655" t="s">
        <v>56</v>
      </c>
      <c r="F655">
        <v>2379.48</v>
      </c>
      <c r="G655">
        <v>6729.25</v>
      </c>
      <c r="H655" t="s">
        <v>125</v>
      </c>
      <c r="I655">
        <v>42</v>
      </c>
      <c r="J655" t="s">
        <v>25</v>
      </c>
      <c r="K655" t="s">
        <v>26</v>
      </c>
      <c r="L655" t="s">
        <v>2443</v>
      </c>
      <c r="M655" t="s">
        <v>38</v>
      </c>
      <c r="N655" t="s">
        <v>62</v>
      </c>
      <c r="O655">
        <v>1.95</v>
      </c>
      <c r="P655">
        <v>34541.22</v>
      </c>
      <c r="R655">
        <v>698</v>
      </c>
      <c r="S655">
        <v>4505.8100000000004</v>
      </c>
      <c r="T655" t="s">
        <v>63</v>
      </c>
    </row>
    <row r="656" spans="1:20" x14ac:dyDescent="0.35">
      <c r="A656" t="s">
        <v>2444</v>
      </c>
      <c r="B656" t="s">
        <v>90</v>
      </c>
      <c r="C656" t="s">
        <v>2445</v>
      </c>
      <c r="D656">
        <v>44596</v>
      </c>
      <c r="E656" t="s">
        <v>23</v>
      </c>
      <c r="F656">
        <v>541.17999999999995</v>
      </c>
      <c r="G656">
        <v>34425.5</v>
      </c>
      <c r="H656" t="s">
        <v>49</v>
      </c>
      <c r="I656">
        <v>62</v>
      </c>
      <c r="J656" t="s">
        <v>25</v>
      </c>
      <c r="K656" t="s">
        <v>50</v>
      </c>
      <c r="L656" t="s">
        <v>2446</v>
      </c>
      <c r="M656" t="s">
        <v>52</v>
      </c>
      <c r="N656" t="s">
        <v>29</v>
      </c>
      <c r="O656">
        <v>2.79</v>
      </c>
      <c r="P656">
        <v>5830.58</v>
      </c>
      <c r="R656">
        <v>828</v>
      </c>
      <c r="S656">
        <v>9471.82</v>
      </c>
      <c r="T656" t="s">
        <v>45</v>
      </c>
    </row>
    <row r="657" spans="1:20" x14ac:dyDescent="0.35">
      <c r="A657" t="s">
        <v>2447</v>
      </c>
      <c r="B657" t="s">
        <v>2448</v>
      </c>
      <c r="C657" t="s">
        <v>2449</v>
      </c>
      <c r="D657">
        <v>44757</v>
      </c>
      <c r="E657" t="s">
        <v>23</v>
      </c>
      <c r="F657">
        <v>4214.8599999999997</v>
      </c>
      <c r="G657">
        <v>47545.08</v>
      </c>
      <c r="H657" t="s">
        <v>35</v>
      </c>
      <c r="I657">
        <v>55</v>
      </c>
      <c r="J657" t="s">
        <v>25</v>
      </c>
      <c r="K657" t="s">
        <v>36</v>
      </c>
      <c r="L657" t="s">
        <v>2450</v>
      </c>
      <c r="M657" t="s">
        <v>52</v>
      </c>
      <c r="N657" t="s">
        <v>29</v>
      </c>
      <c r="O657">
        <v>1.76</v>
      </c>
      <c r="Q657">
        <v>10</v>
      </c>
      <c r="R657">
        <v>350</v>
      </c>
      <c r="S657">
        <v>6265.35</v>
      </c>
      <c r="T657" t="s">
        <v>63</v>
      </c>
    </row>
    <row r="658" spans="1:20" x14ac:dyDescent="0.35">
      <c r="A658" t="s">
        <v>2451</v>
      </c>
      <c r="B658" t="s">
        <v>2452</v>
      </c>
      <c r="C658" t="s">
        <v>2453</v>
      </c>
      <c r="D658">
        <v>45108</v>
      </c>
      <c r="E658" t="s">
        <v>56</v>
      </c>
      <c r="F658">
        <v>3088.98</v>
      </c>
      <c r="G658">
        <v>7717.38</v>
      </c>
      <c r="H658" t="s">
        <v>125</v>
      </c>
      <c r="I658">
        <v>62</v>
      </c>
      <c r="J658" t="s">
        <v>25</v>
      </c>
      <c r="K658" t="s">
        <v>36</v>
      </c>
      <c r="L658" t="s">
        <v>2454</v>
      </c>
      <c r="M658" t="s">
        <v>38</v>
      </c>
      <c r="N658" t="s">
        <v>44</v>
      </c>
      <c r="O658">
        <v>2.0699999999999998</v>
      </c>
      <c r="Q658">
        <v>20</v>
      </c>
      <c r="R658">
        <v>746</v>
      </c>
      <c r="S658">
        <v>12664.49</v>
      </c>
      <c r="T658" t="s">
        <v>63</v>
      </c>
    </row>
    <row r="659" spans="1:20" x14ac:dyDescent="0.35">
      <c r="A659" t="s">
        <v>2455</v>
      </c>
      <c r="B659" t="s">
        <v>2456</v>
      </c>
      <c r="C659" t="s">
        <v>2457</v>
      </c>
      <c r="D659">
        <v>45097</v>
      </c>
      <c r="E659" t="s">
        <v>71</v>
      </c>
      <c r="F659">
        <v>7634.77</v>
      </c>
      <c r="G659">
        <v>36960.269999999997</v>
      </c>
      <c r="H659" t="s">
        <v>125</v>
      </c>
      <c r="I659">
        <v>37</v>
      </c>
      <c r="J659" t="s">
        <v>25</v>
      </c>
      <c r="K659" t="s">
        <v>26</v>
      </c>
      <c r="L659" t="s">
        <v>2458</v>
      </c>
      <c r="M659" t="s">
        <v>38</v>
      </c>
      <c r="N659" t="s">
        <v>44</v>
      </c>
      <c r="O659">
        <v>3.14</v>
      </c>
      <c r="Q659">
        <v>29</v>
      </c>
      <c r="R659">
        <v>569</v>
      </c>
      <c r="S659">
        <v>4391.32</v>
      </c>
      <c r="T659" t="s">
        <v>30</v>
      </c>
    </row>
    <row r="660" spans="1:20" x14ac:dyDescent="0.35">
      <c r="A660" t="s">
        <v>2459</v>
      </c>
      <c r="B660" t="s">
        <v>2460</v>
      </c>
      <c r="C660" t="s">
        <v>2461</v>
      </c>
      <c r="D660">
        <v>44671</v>
      </c>
      <c r="E660" t="s">
        <v>56</v>
      </c>
      <c r="F660">
        <v>3607.25</v>
      </c>
      <c r="G660">
        <v>31979.67</v>
      </c>
      <c r="H660" t="s">
        <v>24</v>
      </c>
      <c r="I660">
        <v>69</v>
      </c>
      <c r="J660" t="s">
        <v>42</v>
      </c>
      <c r="K660" t="s">
        <v>50</v>
      </c>
      <c r="L660" t="s">
        <v>1987</v>
      </c>
      <c r="M660" t="s">
        <v>52</v>
      </c>
      <c r="N660" t="s">
        <v>44</v>
      </c>
      <c r="O660">
        <v>4.33</v>
      </c>
      <c r="P660">
        <v>16767.18</v>
      </c>
      <c r="Q660">
        <v>2</v>
      </c>
      <c r="R660">
        <v>561</v>
      </c>
      <c r="S660">
        <v>8040.15</v>
      </c>
      <c r="T660" t="s">
        <v>63</v>
      </c>
    </row>
    <row r="661" spans="1:20" x14ac:dyDescent="0.35">
      <c r="A661" t="s">
        <v>2462</v>
      </c>
      <c r="B661" t="s">
        <v>2463</v>
      </c>
      <c r="C661" t="s">
        <v>2464</v>
      </c>
      <c r="D661">
        <v>45149</v>
      </c>
      <c r="E661" t="s">
        <v>34</v>
      </c>
      <c r="F661">
        <v>9495.7999999999993</v>
      </c>
      <c r="G661">
        <v>29596.65</v>
      </c>
      <c r="H661" t="s">
        <v>125</v>
      </c>
      <c r="I661">
        <v>61</v>
      </c>
      <c r="J661" t="s">
        <v>25</v>
      </c>
      <c r="K661" t="s">
        <v>36</v>
      </c>
      <c r="L661" t="s">
        <v>2465</v>
      </c>
      <c r="M661" t="s">
        <v>28</v>
      </c>
      <c r="N661" t="s">
        <v>62</v>
      </c>
      <c r="O661">
        <v>2.61</v>
      </c>
      <c r="P661">
        <v>37519.120000000003</v>
      </c>
      <c r="R661">
        <v>664</v>
      </c>
      <c r="S661">
        <v>2177.5500000000002</v>
      </c>
      <c r="T661" t="s">
        <v>63</v>
      </c>
    </row>
    <row r="662" spans="1:20" x14ac:dyDescent="0.35">
      <c r="A662" t="s">
        <v>2466</v>
      </c>
      <c r="B662" t="s">
        <v>2467</v>
      </c>
      <c r="C662" t="s">
        <v>2468</v>
      </c>
      <c r="D662">
        <v>44672</v>
      </c>
      <c r="E662" t="s">
        <v>56</v>
      </c>
      <c r="F662">
        <v>9626.8700000000008</v>
      </c>
      <c r="G662">
        <v>20115.89</v>
      </c>
      <c r="H662" t="s">
        <v>100</v>
      </c>
      <c r="I662">
        <v>62</v>
      </c>
      <c r="J662" t="s">
        <v>25</v>
      </c>
      <c r="K662" t="s">
        <v>36</v>
      </c>
      <c r="L662" t="s">
        <v>2469</v>
      </c>
      <c r="M662" t="s">
        <v>52</v>
      </c>
      <c r="N662" t="s">
        <v>29</v>
      </c>
      <c r="O662">
        <v>3.87</v>
      </c>
      <c r="P662">
        <v>19460.8</v>
      </c>
      <c r="Q662">
        <v>27</v>
      </c>
      <c r="R662">
        <v>348</v>
      </c>
      <c r="S662">
        <v>8261.8700000000008</v>
      </c>
      <c r="T662" t="s">
        <v>63</v>
      </c>
    </row>
    <row r="663" spans="1:20" x14ac:dyDescent="0.35">
      <c r="A663" t="s">
        <v>2470</v>
      </c>
      <c r="B663" t="s">
        <v>2471</v>
      </c>
      <c r="C663" t="s">
        <v>2472</v>
      </c>
      <c r="D663">
        <v>44683</v>
      </c>
      <c r="E663" t="s">
        <v>34</v>
      </c>
      <c r="F663">
        <v>6247</v>
      </c>
      <c r="G663">
        <v>18401.45</v>
      </c>
      <c r="H663" t="s">
        <v>35</v>
      </c>
      <c r="I663">
        <v>51</v>
      </c>
      <c r="J663" t="s">
        <v>42</v>
      </c>
      <c r="K663" t="s">
        <v>36</v>
      </c>
      <c r="L663" t="s">
        <v>2228</v>
      </c>
      <c r="M663" t="s">
        <v>52</v>
      </c>
      <c r="N663" t="s">
        <v>44</v>
      </c>
      <c r="O663">
        <v>4.51</v>
      </c>
      <c r="R663">
        <v>817</v>
      </c>
      <c r="S663">
        <v>2725.9</v>
      </c>
      <c r="T663" t="s">
        <v>30</v>
      </c>
    </row>
    <row r="664" spans="1:20" x14ac:dyDescent="0.35">
      <c r="A664" t="s">
        <v>2473</v>
      </c>
      <c r="B664" t="s">
        <v>2474</v>
      </c>
      <c r="C664" t="s">
        <v>2475</v>
      </c>
      <c r="D664">
        <v>44681</v>
      </c>
      <c r="E664" t="s">
        <v>23</v>
      </c>
      <c r="F664">
        <v>9293.74</v>
      </c>
      <c r="G664">
        <v>3217.21</v>
      </c>
      <c r="H664" t="s">
        <v>100</v>
      </c>
      <c r="I664">
        <v>38</v>
      </c>
      <c r="J664" t="s">
        <v>42</v>
      </c>
      <c r="K664" t="s">
        <v>26</v>
      </c>
      <c r="L664" t="s">
        <v>2476</v>
      </c>
      <c r="M664" t="s">
        <v>52</v>
      </c>
      <c r="N664" t="s">
        <v>44</v>
      </c>
      <c r="O664">
        <v>1.87</v>
      </c>
      <c r="P664">
        <v>17819.2</v>
      </c>
      <c r="Q664">
        <v>5</v>
      </c>
      <c r="R664">
        <v>417</v>
      </c>
      <c r="S664">
        <v>14710.41</v>
      </c>
      <c r="T664" t="s">
        <v>63</v>
      </c>
    </row>
    <row r="665" spans="1:20" x14ac:dyDescent="0.35">
      <c r="A665" t="s">
        <v>2477</v>
      </c>
      <c r="B665" t="s">
        <v>2478</v>
      </c>
      <c r="C665" t="s">
        <v>2479</v>
      </c>
      <c r="D665">
        <v>44623</v>
      </c>
      <c r="E665" t="s">
        <v>71</v>
      </c>
      <c r="F665">
        <v>7632.46</v>
      </c>
      <c r="G665">
        <v>11677.53</v>
      </c>
      <c r="H665" t="s">
        <v>35</v>
      </c>
      <c r="I665">
        <v>65</v>
      </c>
      <c r="J665" t="s">
        <v>42</v>
      </c>
      <c r="K665" t="s">
        <v>26</v>
      </c>
      <c r="L665" t="s">
        <v>1615</v>
      </c>
      <c r="M665" t="s">
        <v>52</v>
      </c>
      <c r="N665" t="s">
        <v>44</v>
      </c>
      <c r="O665">
        <v>4.2300000000000004</v>
      </c>
      <c r="P665">
        <v>38861.29</v>
      </c>
      <c r="R665">
        <v>752</v>
      </c>
      <c r="S665">
        <v>12277.7</v>
      </c>
      <c r="T665" t="s">
        <v>63</v>
      </c>
    </row>
    <row r="666" spans="1:20" x14ac:dyDescent="0.35">
      <c r="A666" t="s">
        <v>2480</v>
      </c>
      <c r="B666" t="s">
        <v>2481</v>
      </c>
      <c r="C666" t="s">
        <v>2482</v>
      </c>
      <c r="D666">
        <v>44907</v>
      </c>
      <c r="E666" t="s">
        <v>23</v>
      </c>
      <c r="F666">
        <v>5513.91</v>
      </c>
      <c r="G666">
        <v>1743.67</v>
      </c>
      <c r="H666" t="s">
        <v>24</v>
      </c>
      <c r="I666">
        <v>40</v>
      </c>
      <c r="J666" t="s">
        <v>42</v>
      </c>
      <c r="K666" t="s">
        <v>36</v>
      </c>
      <c r="L666" t="s">
        <v>1576</v>
      </c>
      <c r="M666" t="s">
        <v>52</v>
      </c>
      <c r="N666" t="s">
        <v>62</v>
      </c>
      <c r="O666">
        <v>4.03</v>
      </c>
      <c r="P666">
        <v>6377.25</v>
      </c>
      <c r="R666">
        <v>696</v>
      </c>
      <c r="S666">
        <v>8371.4500000000007</v>
      </c>
      <c r="T666" t="s">
        <v>63</v>
      </c>
    </row>
    <row r="667" spans="1:20" x14ac:dyDescent="0.35">
      <c r="A667" t="s">
        <v>2483</v>
      </c>
      <c r="B667" t="s">
        <v>2484</v>
      </c>
      <c r="C667" t="s">
        <v>2485</v>
      </c>
      <c r="D667">
        <v>44794</v>
      </c>
      <c r="E667" t="s">
        <v>34</v>
      </c>
      <c r="F667">
        <v>1885.05</v>
      </c>
      <c r="G667">
        <v>29489.439999999999</v>
      </c>
      <c r="H667" t="s">
        <v>125</v>
      </c>
      <c r="I667">
        <v>23</v>
      </c>
      <c r="J667" t="s">
        <v>25</v>
      </c>
      <c r="K667" t="s">
        <v>36</v>
      </c>
      <c r="L667" t="s">
        <v>2354</v>
      </c>
      <c r="M667" t="s">
        <v>28</v>
      </c>
      <c r="N667" t="s">
        <v>44</v>
      </c>
      <c r="O667">
        <v>2.4300000000000002</v>
      </c>
      <c r="R667">
        <v>326</v>
      </c>
      <c r="S667">
        <v>3125.64</v>
      </c>
      <c r="T667" t="s">
        <v>45</v>
      </c>
    </row>
    <row r="668" spans="1:20" x14ac:dyDescent="0.35">
      <c r="A668" t="s">
        <v>2486</v>
      </c>
      <c r="B668" t="s">
        <v>2487</v>
      </c>
      <c r="C668" t="s">
        <v>2488</v>
      </c>
      <c r="D668">
        <v>45072</v>
      </c>
      <c r="E668" t="s">
        <v>34</v>
      </c>
      <c r="F668">
        <v>4640.12</v>
      </c>
      <c r="G668">
        <v>6186.81</v>
      </c>
      <c r="H668" t="s">
        <v>125</v>
      </c>
      <c r="I668">
        <v>68</v>
      </c>
      <c r="J668" t="s">
        <v>42</v>
      </c>
      <c r="K668" t="s">
        <v>50</v>
      </c>
      <c r="L668" t="s">
        <v>2489</v>
      </c>
      <c r="M668" t="s">
        <v>38</v>
      </c>
      <c r="N668" t="s">
        <v>44</v>
      </c>
      <c r="O668">
        <v>4.96</v>
      </c>
      <c r="P668">
        <v>27438.51</v>
      </c>
      <c r="Q668">
        <v>4</v>
      </c>
      <c r="R668">
        <v>671</v>
      </c>
      <c r="S668">
        <v>9701.7900000000009</v>
      </c>
      <c r="T668" t="s">
        <v>30</v>
      </c>
    </row>
    <row r="669" spans="1:20" x14ac:dyDescent="0.35">
      <c r="A669" t="s">
        <v>2490</v>
      </c>
      <c r="B669" t="s">
        <v>2491</v>
      </c>
      <c r="C669" t="s">
        <v>2492</v>
      </c>
      <c r="D669">
        <v>44563</v>
      </c>
      <c r="E669" t="s">
        <v>34</v>
      </c>
      <c r="F669">
        <v>5652.66</v>
      </c>
      <c r="G669">
        <v>43777.95</v>
      </c>
      <c r="H669" t="s">
        <v>125</v>
      </c>
      <c r="I669">
        <v>30</v>
      </c>
      <c r="J669" t="s">
        <v>42</v>
      </c>
      <c r="K669" t="s">
        <v>50</v>
      </c>
      <c r="L669" t="s">
        <v>2493</v>
      </c>
      <c r="M669" t="s">
        <v>38</v>
      </c>
      <c r="N669" t="s">
        <v>62</v>
      </c>
      <c r="O669">
        <v>2.0499999999999998</v>
      </c>
      <c r="P669">
        <v>7027.68</v>
      </c>
      <c r="Q669">
        <v>27</v>
      </c>
      <c r="R669">
        <v>396</v>
      </c>
      <c r="S669">
        <v>11863.93</v>
      </c>
      <c r="T669" t="s">
        <v>45</v>
      </c>
    </row>
    <row r="670" spans="1:20" x14ac:dyDescent="0.35">
      <c r="A670" t="s">
        <v>2494</v>
      </c>
      <c r="B670" t="s">
        <v>2495</v>
      </c>
      <c r="C670" t="s">
        <v>2496</v>
      </c>
      <c r="D670">
        <v>45109</v>
      </c>
      <c r="E670" t="s">
        <v>71</v>
      </c>
      <c r="F670">
        <v>8653.2199999999993</v>
      </c>
      <c r="G670">
        <v>26634.01</v>
      </c>
      <c r="H670" t="s">
        <v>35</v>
      </c>
      <c r="I670">
        <v>66</v>
      </c>
      <c r="J670" t="s">
        <v>25</v>
      </c>
      <c r="K670" t="s">
        <v>50</v>
      </c>
      <c r="L670" t="s">
        <v>383</v>
      </c>
      <c r="M670" t="s">
        <v>28</v>
      </c>
      <c r="N670" t="s">
        <v>62</v>
      </c>
      <c r="O670">
        <v>2.02</v>
      </c>
      <c r="R670">
        <v>828</v>
      </c>
      <c r="S670">
        <v>4479.32</v>
      </c>
      <c r="T670" t="s">
        <v>30</v>
      </c>
    </row>
    <row r="671" spans="1:20" x14ac:dyDescent="0.35">
      <c r="A671" t="s">
        <v>2497</v>
      </c>
      <c r="B671" t="s">
        <v>2498</v>
      </c>
      <c r="C671" t="s">
        <v>2499</v>
      </c>
      <c r="D671">
        <v>44853</v>
      </c>
      <c r="E671" t="s">
        <v>56</v>
      </c>
      <c r="F671">
        <v>4865.2</v>
      </c>
      <c r="G671">
        <v>35284.81</v>
      </c>
      <c r="H671" t="s">
        <v>125</v>
      </c>
      <c r="I671">
        <v>40</v>
      </c>
      <c r="J671" t="s">
        <v>25</v>
      </c>
      <c r="K671" t="s">
        <v>26</v>
      </c>
      <c r="L671" t="s">
        <v>194</v>
      </c>
      <c r="M671" t="s">
        <v>38</v>
      </c>
      <c r="N671" t="s">
        <v>44</v>
      </c>
      <c r="O671">
        <v>4.09</v>
      </c>
      <c r="Q671">
        <v>24</v>
      </c>
      <c r="R671">
        <v>485</v>
      </c>
      <c r="S671">
        <v>9386.7099999999991</v>
      </c>
      <c r="T671" t="s">
        <v>30</v>
      </c>
    </row>
    <row r="672" spans="1:20" x14ac:dyDescent="0.35">
      <c r="A672" t="s">
        <v>2500</v>
      </c>
      <c r="B672" t="s">
        <v>2501</v>
      </c>
      <c r="C672" t="s">
        <v>2502</v>
      </c>
      <c r="D672">
        <v>45101</v>
      </c>
      <c r="E672" t="s">
        <v>23</v>
      </c>
      <c r="F672">
        <v>8986.98</v>
      </c>
      <c r="G672">
        <v>21132</v>
      </c>
      <c r="H672" t="s">
        <v>100</v>
      </c>
      <c r="I672">
        <v>26</v>
      </c>
      <c r="J672" t="s">
        <v>25</v>
      </c>
      <c r="K672" t="s">
        <v>36</v>
      </c>
      <c r="L672" t="s">
        <v>2503</v>
      </c>
      <c r="M672" t="s">
        <v>38</v>
      </c>
      <c r="N672" t="s">
        <v>44</v>
      </c>
      <c r="O672">
        <v>2.74</v>
      </c>
      <c r="Q672">
        <v>12</v>
      </c>
      <c r="R672">
        <v>514</v>
      </c>
      <c r="S672">
        <v>12584.74</v>
      </c>
      <c r="T672" t="s">
        <v>45</v>
      </c>
    </row>
    <row r="673" spans="1:20" x14ac:dyDescent="0.35">
      <c r="A673" t="s">
        <v>2504</v>
      </c>
      <c r="B673" t="s">
        <v>2505</v>
      </c>
      <c r="C673" t="s">
        <v>2506</v>
      </c>
      <c r="D673">
        <v>44979</v>
      </c>
      <c r="E673" t="s">
        <v>23</v>
      </c>
      <c r="F673">
        <v>6776.05</v>
      </c>
      <c r="G673">
        <v>28468.41</v>
      </c>
      <c r="H673" t="s">
        <v>125</v>
      </c>
      <c r="I673">
        <v>34</v>
      </c>
      <c r="J673" t="s">
        <v>42</v>
      </c>
      <c r="K673" t="s">
        <v>26</v>
      </c>
      <c r="L673" t="s">
        <v>2507</v>
      </c>
      <c r="M673" t="s">
        <v>38</v>
      </c>
      <c r="N673" t="s">
        <v>62</v>
      </c>
      <c r="O673">
        <v>2.3199999999999998</v>
      </c>
      <c r="P673">
        <v>38288.75</v>
      </c>
      <c r="R673">
        <v>550</v>
      </c>
      <c r="S673">
        <v>11987.22</v>
      </c>
      <c r="T673" t="s">
        <v>30</v>
      </c>
    </row>
    <row r="674" spans="1:20" x14ac:dyDescent="0.35">
      <c r="A674" t="s">
        <v>2508</v>
      </c>
      <c r="B674" t="s">
        <v>2509</v>
      </c>
      <c r="C674" t="s">
        <v>2510</v>
      </c>
      <c r="D674">
        <v>44916</v>
      </c>
      <c r="E674" t="s">
        <v>56</v>
      </c>
      <c r="F674">
        <v>1456.29</v>
      </c>
      <c r="G674">
        <v>47190.3</v>
      </c>
      <c r="H674" t="s">
        <v>24</v>
      </c>
      <c r="I674">
        <v>19</v>
      </c>
      <c r="J674" t="s">
        <v>25</v>
      </c>
      <c r="K674" t="s">
        <v>36</v>
      </c>
      <c r="L674" t="s">
        <v>2151</v>
      </c>
      <c r="M674" t="s">
        <v>28</v>
      </c>
      <c r="N674" t="s">
        <v>29</v>
      </c>
      <c r="O674">
        <v>1.71</v>
      </c>
      <c r="P674">
        <v>16349</v>
      </c>
      <c r="Q674">
        <v>16</v>
      </c>
      <c r="R674">
        <v>515</v>
      </c>
      <c r="S674">
        <v>12438.9</v>
      </c>
      <c r="T674" t="s">
        <v>30</v>
      </c>
    </row>
    <row r="675" spans="1:20" x14ac:dyDescent="0.35">
      <c r="A675" t="s">
        <v>2511</v>
      </c>
      <c r="B675" t="s">
        <v>2512</v>
      </c>
      <c r="C675" t="s">
        <v>2513</v>
      </c>
      <c r="D675">
        <v>44898</v>
      </c>
      <c r="E675" t="s">
        <v>23</v>
      </c>
      <c r="F675">
        <v>9950.32</v>
      </c>
      <c r="G675">
        <v>5053.97</v>
      </c>
      <c r="H675" t="s">
        <v>100</v>
      </c>
      <c r="I675">
        <v>36</v>
      </c>
      <c r="J675" t="s">
        <v>42</v>
      </c>
      <c r="K675" t="s">
        <v>50</v>
      </c>
      <c r="L675" t="s">
        <v>2514</v>
      </c>
      <c r="M675" t="s">
        <v>28</v>
      </c>
      <c r="N675" t="s">
        <v>62</v>
      </c>
      <c r="O675">
        <v>4.0599999999999996</v>
      </c>
      <c r="P675">
        <v>16723.29</v>
      </c>
      <c r="R675">
        <v>328</v>
      </c>
      <c r="S675">
        <v>13431.2</v>
      </c>
      <c r="T675" t="s">
        <v>45</v>
      </c>
    </row>
    <row r="676" spans="1:20" x14ac:dyDescent="0.35">
      <c r="A676" t="s">
        <v>2515</v>
      </c>
      <c r="B676" t="s">
        <v>2516</v>
      </c>
      <c r="C676" t="s">
        <v>2517</v>
      </c>
      <c r="D676">
        <v>44779</v>
      </c>
      <c r="E676" t="s">
        <v>71</v>
      </c>
      <c r="F676">
        <v>5319.6</v>
      </c>
      <c r="G676">
        <v>13442.95</v>
      </c>
      <c r="H676" t="s">
        <v>125</v>
      </c>
      <c r="I676">
        <v>36</v>
      </c>
      <c r="J676" t="s">
        <v>25</v>
      </c>
      <c r="K676" t="s">
        <v>50</v>
      </c>
      <c r="L676" t="s">
        <v>2518</v>
      </c>
      <c r="M676" t="s">
        <v>38</v>
      </c>
      <c r="N676" t="s">
        <v>29</v>
      </c>
      <c r="O676">
        <v>4.1500000000000004</v>
      </c>
      <c r="Q676">
        <v>17</v>
      </c>
      <c r="R676">
        <v>401</v>
      </c>
      <c r="S676">
        <v>14189.87</v>
      </c>
      <c r="T676" t="s">
        <v>63</v>
      </c>
    </row>
    <row r="677" spans="1:20" x14ac:dyDescent="0.35">
      <c r="A677" t="s">
        <v>2519</v>
      </c>
      <c r="B677" t="s">
        <v>2520</v>
      </c>
      <c r="C677" t="s">
        <v>2521</v>
      </c>
      <c r="D677">
        <v>44654</v>
      </c>
      <c r="E677" t="s">
        <v>23</v>
      </c>
      <c r="F677">
        <v>3979.4</v>
      </c>
      <c r="G677">
        <v>39219.43</v>
      </c>
      <c r="H677" t="s">
        <v>125</v>
      </c>
      <c r="I677">
        <v>24</v>
      </c>
      <c r="J677" t="s">
        <v>25</v>
      </c>
      <c r="K677" t="s">
        <v>50</v>
      </c>
      <c r="L677" t="s">
        <v>620</v>
      </c>
      <c r="M677" t="s">
        <v>38</v>
      </c>
      <c r="N677" t="s">
        <v>44</v>
      </c>
      <c r="O677">
        <v>3.27</v>
      </c>
      <c r="P677">
        <v>10291.98</v>
      </c>
      <c r="Q677">
        <v>21</v>
      </c>
      <c r="R677">
        <v>422</v>
      </c>
      <c r="S677">
        <v>7271.78</v>
      </c>
      <c r="T677" t="s">
        <v>30</v>
      </c>
    </row>
    <row r="678" spans="1:20" x14ac:dyDescent="0.35">
      <c r="A678" t="s">
        <v>2522</v>
      </c>
      <c r="B678" t="s">
        <v>2523</v>
      </c>
      <c r="C678" t="s">
        <v>2524</v>
      </c>
      <c r="D678">
        <v>44713</v>
      </c>
      <c r="E678" t="s">
        <v>34</v>
      </c>
      <c r="F678">
        <v>6625.23</v>
      </c>
      <c r="G678">
        <v>5838.12</v>
      </c>
      <c r="H678" t="s">
        <v>49</v>
      </c>
      <c r="I678">
        <v>59</v>
      </c>
      <c r="J678" t="s">
        <v>42</v>
      </c>
      <c r="K678" t="s">
        <v>50</v>
      </c>
      <c r="L678" t="s">
        <v>2525</v>
      </c>
      <c r="M678" t="s">
        <v>38</v>
      </c>
      <c r="N678" t="s">
        <v>44</v>
      </c>
      <c r="O678">
        <v>4.83</v>
      </c>
      <c r="R678">
        <v>353</v>
      </c>
      <c r="S678">
        <v>9394</v>
      </c>
      <c r="T678" t="s">
        <v>45</v>
      </c>
    </row>
    <row r="679" spans="1:20" x14ac:dyDescent="0.35">
      <c r="A679" t="s">
        <v>2526</v>
      </c>
      <c r="B679" t="s">
        <v>2527</v>
      </c>
      <c r="C679" t="s">
        <v>2528</v>
      </c>
      <c r="D679">
        <v>44884</v>
      </c>
      <c r="E679" t="s">
        <v>56</v>
      </c>
      <c r="F679">
        <v>1178.04</v>
      </c>
      <c r="G679">
        <v>4707.3900000000003</v>
      </c>
      <c r="H679" t="s">
        <v>35</v>
      </c>
      <c r="I679">
        <v>59</v>
      </c>
      <c r="J679" t="s">
        <v>25</v>
      </c>
      <c r="K679" t="s">
        <v>36</v>
      </c>
      <c r="L679" t="s">
        <v>2171</v>
      </c>
      <c r="M679" t="s">
        <v>52</v>
      </c>
      <c r="N679" t="s">
        <v>29</v>
      </c>
      <c r="O679">
        <v>2.27</v>
      </c>
      <c r="R679">
        <v>582</v>
      </c>
      <c r="S679">
        <v>12278.57</v>
      </c>
      <c r="T679" t="s">
        <v>30</v>
      </c>
    </row>
    <row r="680" spans="1:20" x14ac:dyDescent="0.35">
      <c r="A680" t="s">
        <v>2529</v>
      </c>
      <c r="B680" t="s">
        <v>2530</v>
      </c>
      <c r="C680" t="s">
        <v>2531</v>
      </c>
      <c r="D680">
        <v>44658</v>
      </c>
      <c r="E680" t="s">
        <v>71</v>
      </c>
      <c r="F680">
        <v>6401.73</v>
      </c>
      <c r="G680">
        <v>18715.53</v>
      </c>
      <c r="H680" t="s">
        <v>100</v>
      </c>
      <c r="I680">
        <v>37</v>
      </c>
      <c r="J680" t="s">
        <v>25</v>
      </c>
      <c r="K680" t="s">
        <v>50</v>
      </c>
      <c r="L680" t="s">
        <v>2532</v>
      </c>
      <c r="M680" t="s">
        <v>52</v>
      </c>
      <c r="N680" t="s">
        <v>62</v>
      </c>
      <c r="O680">
        <v>1.88</v>
      </c>
      <c r="P680">
        <v>49983.6</v>
      </c>
      <c r="R680">
        <v>416</v>
      </c>
      <c r="S680">
        <v>11062.82</v>
      </c>
      <c r="T680" t="s">
        <v>45</v>
      </c>
    </row>
    <row r="681" spans="1:20" x14ac:dyDescent="0.35">
      <c r="A681" t="s">
        <v>2533</v>
      </c>
      <c r="B681" t="s">
        <v>2534</v>
      </c>
      <c r="C681" t="s">
        <v>2535</v>
      </c>
      <c r="D681">
        <v>44864</v>
      </c>
      <c r="E681" t="s">
        <v>56</v>
      </c>
      <c r="F681">
        <v>5032.54</v>
      </c>
      <c r="G681">
        <v>5516.23</v>
      </c>
      <c r="H681" t="s">
        <v>49</v>
      </c>
      <c r="I681">
        <v>26</v>
      </c>
      <c r="J681" t="s">
        <v>25</v>
      </c>
      <c r="K681" t="s">
        <v>36</v>
      </c>
      <c r="L681" t="s">
        <v>2536</v>
      </c>
      <c r="M681" t="s">
        <v>52</v>
      </c>
      <c r="N681" t="s">
        <v>44</v>
      </c>
      <c r="O681">
        <v>3.71</v>
      </c>
      <c r="P681">
        <v>27308.02</v>
      </c>
      <c r="R681">
        <v>413</v>
      </c>
      <c r="S681">
        <v>14941.76</v>
      </c>
      <c r="T681" t="s">
        <v>63</v>
      </c>
    </row>
    <row r="682" spans="1:20" x14ac:dyDescent="0.35">
      <c r="A682" t="s">
        <v>2537</v>
      </c>
      <c r="B682" t="s">
        <v>2538</v>
      </c>
      <c r="C682" t="s">
        <v>2539</v>
      </c>
      <c r="D682">
        <v>44843</v>
      </c>
      <c r="E682" t="s">
        <v>71</v>
      </c>
      <c r="F682">
        <v>4126.07</v>
      </c>
      <c r="G682">
        <v>29668.84</v>
      </c>
      <c r="H682" t="s">
        <v>24</v>
      </c>
      <c r="I682">
        <v>34</v>
      </c>
      <c r="J682" t="s">
        <v>25</v>
      </c>
      <c r="K682" t="s">
        <v>36</v>
      </c>
      <c r="L682" t="s">
        <v>2249</v>
      </c>
      <c r="M682" t="s">
        <v>28</v>
      </c>
      <c r="N682" t="s">
        <v>29</v>
      </c>
      <c r="O682">
        <v>4.03</v>
      </c>
      <c r="P682">
        <v>39714.35</v>
      </c>
      <c r="Q682">
        <v>2</v>
      </c>
      <c r="R682">
        <v>842</v>
      </c>
      <c r="S682">
        <v>2177.81</v>
      </c>
      <c r="T682" t="s">
        <v>30</v>
      </c>
    </row>
    <row r="683" spans="1:20" x14ac:dyDescent="0.35">
      <c r="A683" t="s">
        <v>2540</v>
      </c>
      <c r="B683" t="s">
        <v>2541</v>
      </c>
      <c r="C683" t="s">
        <v>2542</v>
      </c>
      <c r="D683">
        <v>44952</v>
      </c>
      <c r="E683" t="s">
        <v>34</v>
      </c>
      <c r="F683">
        <v>9534.9</v>
      </c>
      <c r="G683">
        <v>12087.49</v>
      </c>
      <c r="H683" t="s">
        <v>35</v>
      </c>
      <c r="I683">
        <v>44</v>
      </c>
      <c r="J683" t="s">
        <v>25</v>
      </c>
      <c r="K683" t="s">
        <v>26</v>
      </c>
      <c r="L683" t="s">
        <v>2543</v>
      </c>
      <c r="M683" t="s">
        <v>38</v>
      </c>
      <c r="N683" t="s">
        <v>62</v>
      </c>
      <c r="O683">
        <v>1.9</v>
      </c>
      <c r="Q683">
        <v>25</v>
      </c>
      <c r="R683">
        <v>592</v>
      </c>
      <c r="S683">
        <v>6616.73</v>
      </c>
      <c r="T683" t="s">
        <v>63</v>
      </c>
    </row>
    <row r="684" spans="1:20" x14ac:dyDescent="0.35">
      <c r="A684" t="s">
        <v>2544</v>
      </c>
      <c r="B684" t="s">
        <v>2545</v>
      </c>
      <c r="C684" t="s">
        <v>2546</v>
      </c>
      <c r="D684">
        <v>44852</v>
      </c>
      <c r="E684" t="s">
        <v>56</v>
      </c>
      <c r="F684">
        <v>5273.14</v>
      </c>
      <c r="G684">
        <v>44889.2</v>
      </c>
      <c r="H684" t="s">
        <v>100</v>
      </c>
      <c r="I684">
        <v>64</v>
      </c>
      <c r="J684" t="s">
        <v>42</v>
      </c>
      <c r="K684" t="s">
        <v>50</v>
      </c>
      <c r="L684" t="s">
        <v>2547</v>
      </c>
      <c r="M684" t="s">
        <v>28</v>
      </c>
      <c r="N684" t="s">
        <v>29</v>
      </c>
      <c r="O684">
        <v>1.31</v>
      </c>
      <c r="Q684">
        <v>4</v>
      </c>
      <c r="R684">
        <v>494</v>
      </c>
      <c r="S684">
        <v>5653.36</v>
      </c>
      <c r="T684" t="s">
        <v>63</v>
      </c>
    </row>
    <row r="685" spans="1:20" x14ac:dyDescent="0.35">
      <c r="A685" t="s">
        <v>2548</v>
      </c>
      <c r="B685" t="s">
        <v>2549</v>
      </c>
      <c r="C685" t="s">
        <v>2550</v>
      </c>
      <c r="D685">
        <v>44983</v>
      </c>
      <c r="E685" t="s">
        <v>23</v>
      </c>
      <c r="F685">
        <v>2269.2600000000002</v>
      </c>
      <c r="G685">
        <v>39391.5</v>
      </c>
      <c r="H685" t="s">
        <v>125</v>
      </c>
      <c r="I685">
        <v>19</v>
      </c>
      <c r="J685" t="s">
        <v>42</v>
      </c>
      <c r="K685" t="s">
        <v>50</v>
      </c>
      <c r="L685" t="s">
        <v>2551</v>
      </c>
      <c r="M685" t="s">
        <v>28</v>
      </c>
      <c r="N685" t="s">
        <v>62</v>
      </c>
      <c r="O685">
        <v>4.24</v>
      </c>
      <c r="P685">
        <v>17150.09</v>
      </c>
      <c r="R685">
        <v>591</v>
      </c>
      <c r="S685">
        <v>5410.11</v>
      </c>
      <c r="T685" t="s">
        <v>45</v>
      </c>
    </row>
    <row r="686" spans="1:20" x14ac:dyDescent="0.35">
      <c r="A686" t="s">
        <v>2552</v>
      </c>
      <c r="B686" t="s">
        <v>2553</v>
      </c>
      <c r="C686" t="s">
        <v>2554</v>
      </c>
      <c r="D686">
        <v>44780</v>
      </c>
      <c r="E686" t="s">
        <v>71</v>
      </c>
      <c r="F686">
        <v>4643.74</v>
      </c>
      <c r="G686">
        <v>35285.56</v>
      </c>
      <c r="H686" t="s">
        <v>100</v>
      </c>
      <c r="I686">
        <v>53</v>
      </c>
      <c r="J686" t="s">
        <v>25</v>
      </c>
      <c r="K686" t="s">
        <v>26</v>
      </c>
      <c r="L686" t="s">
        <v>1599</v>
      </c>
      <c r="M686" t="s">
        <v>28</v>
      </c>
      <c r="N686" t="s">
        <v>62</v>
      </c>
      <c r="O686">
        <v>4.91</v>
      </c>
      <c r="Q686">
        <v>11</v>
      </c>
      <c r="R686">
        <v>560</v>
      </c>
      <c r="S686">
        <v>4892.8900000000003</v>
      </c>
      <c r="T686" t="s">
        <v>30</v>
      </c>
    </row>
    <row r="687" spans="1:20" x14ac:dyDescent="0.35">
      <c r="A687" t="s">
        <v>2555</v>
      </c>
      <c r="B687" t="s">
        <v>2556</v>
      </c>
      <c r="C687" t="s">
        <v>2557</v>
      </c>
      <c r="D687">
        <v>44742</v>
      </c>
      <c r="E687" t="s">
        <v>56</v>
      </c>
      <c r="F687">
        <v>9201.94</v>
      </c>
      <c r="G687">
        <v>31230.26</v>
      </c>
      <c r="H687" t="s">
        <v>125</v>
      </c>
      <c r="I687">
        <v>36</v>
      </c>
      <c r="J687" t="s">
        <v>42</v>
      </c>
      <c r="K687" t="s">
        <v>36</v>
      </c>
      <c r="L687" t="s">
        <v>1201</v>
      </c>
      <c r="M687" t="s">
        <v>38</v>
      </c>
      <c r="N687" t="s">
        <v>62</v>
      </c>
      <c r="O687">
        <v>3.58</v>
      </c>
      <c r="P687">
        <v>41285.99</v>
      </c>
      <c r="Q687">
        <v>17</v>
      </c>
      <c r="R687">
        <v>506</v>
      </c>
      <c r="S687">
        <v>11218.61</v>
      </c>
      <c r="T687" t="s">
        <v>30</v>
      </c>
    </row>
    <row r="688" spans="1:20" x14ac:dyDescent="0.35">
      <c r="A688" t="s">
        <v>2558</v>
      </c>
      <c r="B688" t="s">
        <v>2559</v>
      </c>
      <c r="C688" t="s">
        <v>2560</v>
      </c>
      <c r="D688">
        <v>44884</v>
      </c>
      <c r="E688" t="s">
        <v>23</v>
      </c>
      <c r="F688">
        <v>1843.35</v>
      </c>
      <c r="G688">
        <v>43309.82</v>
      </c>
      <c r="H688" t="s">
        <v>35</v>
      </c>
      <c r="I688">
        <v>34</v>
      </c>
      <c r="J688" t="s">
        <v>42</v>
      </c>
      <c r="K688" t="s">
        <v>50</v>
      </c>
      <c r="L688" t="s">
        <v>2561</v>
      </c>
      <c r="M688" t="s">
        <v>52</v>
      </c>
      <c r="N688" t="s">
        <v>62</v>
      </c>
      <c r="O688">
        <v>2.11</v>
      </c>
      <c r="P688">
        <v>12386.65</v>
      </c>
      <c r="Q688">
        <v>12</v>
      </c>
      <c r="R688">
        <v>348</v>
      </c>
      <c r="S688">
        <v>3101.87</v>
      </c>
      <c r="T688" t="s">
        <v>30</v>
      </c>
    </row>
    <row r="689" spans="1:20" x14ac:dyDescent="0.35">
      <c r="A689" t="s">
        <v>2562</v>
      </c>
      <c r="B689" t="s">
        <v>2563</v>
      </c>
      <c r="C689" t="s">
        <v>2564</v>
      </c>
      <c r="D689">
        <v>44643</v>
      </c>
      <c r="E689" t="s">
        <v>56</v>
      </c>
      <c r="F689">
        <v>2218.17</v>
      </c>
      <c r="G689">
        <v>11930.04</v>
      </c>
      <c r="H689" t="s">
        <v>125</v>
      </c>
      <c r="I689">
        <v>22</v>
      </c>
      <c r="J689" t="s">
        <v>42</v>
      </c>
      <c r="K689" t="s">
        <v>36</v>
      </c>
      <c r="L689" t="s">
        <v>57</v>
      </c>
      <c r="M689" t="s">
        <v>38</v>
      </c>
      <c r="N689" t="s">
        <v>29</v>
      </c>
      <c r="O689">
        <v>4.99</v>
      </c>
      <c r="P689">
        <v>24912.93</v>
      </c>
      <c r="R689">
        <v>305</v>
      </c>
      <c r="S689">
        <v>11640.91</v>
      </c>
      <c r="T689" t="s">
        <v>30</v>
      </c>
    </row>
    <row r="690" spans="1:20" x14ac:dyDescent="0.35">
      <c r="A690" t="s">
        <v>2565</v>
      </c>
      <c r="B690" t="s">
        <v>2566</v>
      </c>
      <c r="C690" t="s">
        <v>2567</v>
      </c>
      <c r="D690">
        <v>45062</v>
      </c>
      <c r="E690" t="s">
        <v>56</v>
      </c>
      <c r="F690">
        <v>228.99</v>
      </c>
      <c r="G690">
        <v>43782.33</v>
      </c>
      <c r="H690" t="s">
        <v>24</v>
      </c>
      <c r="I690">
        <v>56</v>
      </c>
      <c r="J690" t="s">
        <v>25</v>
      </c>
      <c r="K690" t="s">
        <v>26</v>
      </c>
      <c r="L690" t="s">
        <v>2109</v>
      </c>
      <c r="M690" t="s">
        <v>38</v>
      </c>
      <c r="N690" t="s">
        <v>29</v>
      </c>
      <c r="O690">
        <v>4.57</v>
      </c>
      <c r="R690">
        <v>678</v>
      </c>
      <c r="S690">
        <v>11014.54</v>
      </c>
      <c r="T690" t="s">
        <v>30</v>
      </c>
    </row>
    <row r="691" spans="1:20" x14ac:dyDescent="0.35">
      <c r="A691" t="s">
        <v>2568</v>
      </c>
      <c r="B691" t="s">
        <v>2569</v>
      </c>
      <c r="C691" t="s">
        <v>2570</v>
      </c>
      <c r="D691">
        <v>44812</v>
      </c>
      <c r="E691" t="s">
        <v>56</v>
      </c>
      <c r="F691">
        <v>240.48</v>
      </c>
      <c r="G691">
        <v>39685.120000000003</v>
      </c>
      <c r="H691" t="s">
        <v>125</v>
      </c>
      <c r="I691">
        <v>35</v>
      </c>
      <c r="J691" t="s">
        <v>25</v>
      </c>
      <c r="K691" t="s">
        <v>36</v>
      </c>
      <c r="L691" t="s">
        <v>2182</v>
      </c>
      <c r="M691" t="s">
        <v>28</v>
      </c>
      <c r="N691" t="s">
        <v>29</v>
      </c>
      <c r="O691">
        <v>3.05</v>
      </c>
      <c r="Q691">
        <v>9</v>
      </c>
      <c r="R691">
        <v>693</v>
      </c>
      <c r="S691">
        <v>5260.45</v>
      </c>
      <c r="T691" t="s">
        <v>45</v>
      </c>
    </row>
    <row r="692" spans="1:20" x14ac:dyDescent="0.35">
      <c r="A692" t="s">
        <v>2571</v>
      </c>
      <c r="B692" t="s">
        <v>2572</v>
      </c>
      <c r="C692" t="s">
        <v>2573</v>
      </c>
      <c r="D692">
        <v>44591</v>
      </c>
      <c r="E692" t="s">
        <v>71</v>
      </c>
      <c r="F692">
        <v>8310.98</v>
      </c>
      <c r="G692">
        <v>37659.879999999997</v>
      </c>
      <c r="H692" t="s">
        <v>24</v>
      </c>
      <c r="I692">
        <v>24</v>
      </c>
      <c r="J692" t="s">
        <v>25</v>
      </c>
      <c r="K692" t="s">
        <v>50</v>
      </c>
      <c r="L692" t="s">
        <v>512</v>
      </c>
      <c r="M692" t="s">
        <v>28</v>
      </c>
      <c r="N692" t="s">
        <v>29</v>
      </c>
      <c r="O692">
        <v>4.3</v>
      </c>
      <c r="P692">
        <v>26679.01</v>
      </c>
      <c r="Q692">
        <v>5</v>
      </c>
      <c r="R692">
        <v>523</v>
      </c>
      <c r="S692">
        <v>5286.84</v>
      </c>
      <c r="T692" t="s">
        <v>30</v>
      </c>
    </row>
    <row r="693" spans="1:20" x14ac:dyDescent="0.35">
      <c r="A693" t="s">
        <v>2574</v>
      </c>
      <c r="B693" t="s">
        <v>2575</v>
      </c>
      <c r="C693" t="s">
        <v>2576</v>
      </c>
      <c r="D693">
        <v>44698</v>
      </c>
      <c r="E693" t="s">
        <v>23</v>
      </c>
      <c r="F693">
        <v>7348.01</v>
      </c>
      <c r="G693">
        <v>28501.53</v>
      </c>
      <c r="H693" t="s">
        <v>35</v>
      </c>
      <c r="I693">
        <v>34</v>
      </c>
      <c r="J693" t="s">
        <v>42</v>
      </c>
      <c r="K693" t="s">
        <v>36</v>
      </c>
      <c r="L693" t="s">
        <v>2577</v>
      </c>
      <c r="M693" t="s">
        <v>28</v>
      </c>
      <c r="N693" t="s">
        <v>29</v>
      </c>
      <c r="O693">
        <v>4.26</v>
      </c>
      <c r="P693">
        <v>19289.55</v>
      </c>
      <c r="R693">
        <v>322</v>
      </c>
      <c r="S693">
        <v>10175.19</v>
      </c>
      <c r="T693" t="s">
        <v>63</v>
      </c>
    </row>
    <row r="694" spans="1:20" x14ac:dyDescent="0.35">
      <c r="A694" t="s">
        <v>2578</v>
      </c>
      <c r="B694" t="s">
        <v>2579</v>
      </c>
      <c r="C694" t="s">
        <v>2580</v>
      </c>
      <c r="D694">
        <v>45057</v>
      </c>
      <c r="E694" t="s">
        <v>34</v>
      </c>
      <c r="F694">
        <v>3614.91</v>
      </c>
      <c r="G694">
        <v>13065.96</v>
      </c>
      <c r="H694" t="s">
        <v>35</v>
      </c>
      <c r="I694">
        <v>56</v>
      </c>
      <c r="J694" t="s">
        <v>42</v>
      </c>
      <c r="K694" t="s">
        <v>36</v>
      </c>
      <c r="L694" t="s">
        <v>2581</v>
      </c>
      <c r="M694" t="s">
        <v>52</v>
      </c>
      <c r="N694" t="s">
        <v>62</v>
      </c>
      <c r="O694">
        <v>4.74</v>
      </c>
      <c r="R694">
        <v>409</v>
      </c>
      <c r="S694">
        <v>11908.22</v>
      </c>
      <c r="T694" t="s">
        <v>63</v>
      </c>
    </row>
    <row r="695" spans="1:20" x14ac:dyDescent="0.35">
      <c r="A695" t="s">
        <v>2582</v>
      </c>
      <c r="B695" t="s">
        <v>2583</v>
      </c>
      <c r="C695" t="s">
        <v>2584</v>
      </c>
      <c r="D695">
        <v>44965</v>
      </c>
      <c r="E695" t="s">
        <v>71</v>
      </c>
      <c r="F695">
        <v>7013.28</v>
      </c>
      <c r="G695">
        <v>21753.85</v>
      </c>
      <c r="H695" t="s">
        <v>100</v>
      </c>
      <c r="I695">
        <v>53</v>
      </c>
      <c r="J695" t="s">
        <v>25</v>
      </c>
      <c r="K695" t="s">
        <v>50</v>
      </c>
      <c r="L695" t="s">
        <v>2585</v>
      </c>
      <c r="M695" t="s">
        <v>52</v>
      </c>
      <c r="N695" t="s">
        <v>44</v>
      </c>
      <c r="O695">
        <v>4.3600000000000003</v>
      </c>
      <c r="P695">
        <v>35119.9</v>
      </c>
      <c r="R695">
        <v>698</v>
      </c>
      <c r="S695">
        <v>13394.31</v>
      </c>
      <c r="T695" t="s">
        <v>30</v>
      </c>
    </row>
    <row r="696" spans="1:20" x14ac:dyDescent="0.35">
      <c r="A696" t="s">
        <v>2586</v>
      </c>
      <c r="B696" t="s">
        <v>2587</v>
      </c>
      <c r="C696" t="s">
        <v>2588</v>
      </c>
      <c r="D696">
        <v>44803</v>
      </c>
      <c r="E696" t="s">
        <v>71</v>
      </c>
      <c r="F696">
        <v>4012.54</v>
      </c>
      <c r="G696">
        <v>39884.959999999999</v>
      </c>
      <c r="H696" t="s">
        <v>24</v>
      </c>
      <c r="I696">
        <v>57</v>
      </c>
      <c r="J696" t="s">
        <v>25</v>
      </c>
      <c r="K696" t="s">
        <v>50</v>
      </c>
      <c r="L696" t="s">
        <v>2589</v>
      </c>
      <c r="M696" t="s">
        <v>52</v>
      </c>
      <c r="N696" t="s">
        <v>44</v>
      </c>
      <c r="O696">
        <v>3.57</v>
      </c>
      <c r="R696">
        <v>471</v>
      </c>
      <c r="S696">
        <v>13077.81</v>
      </c>
      <c r="T696" t="s">
        <v>45</v>
      </c>
    </row>
    <row r="697" spans="1:20" x14ac:dyDescent="0.35">
      <c r="A697" t="s">
        <v>2590</v>
      </c>
      <c r="B697" t="s">
        <v>2591</v>
      </c>
      <c r="C697" t="s">
        <v>2592</v>
      </c>
      <c r="D697">
        <v>45103</v>
      </c>
      <c r="E697" t="s">
        <v>71</v>
      </c>
      <c r="F697">
        <v>9533.68</v>
      </c>
      <c r="G697">
        <v>2557.15</v>
      </c>
      <c r="H697" t="s">
        <v>24</v>
      </c>
      <c r="I697">
        <v>62</v>
      </c>
      <c r="J697" t="s">
        <v>42</v>
      </c>
      <c r="K697" t="s">
        <v>36</v>
      </c>
      <c r="L697" t="s">
        <v>2593</v>
      </c>
      <c r="M697" t="s">
        <v>38</v>
      </c>
      <c r="N697" t="s">
        <v>29</v>
      </c>
      <c r="O697">
        <v>3.44</v>
      </c>
      <c r="P697">
        <v>15451.96</v>
      </c>
      <c r="Q697">
        <v>28</v>
      </c>
      <c r="R697">
        <v>605</v>
      </c>
      <c r="S697">
        <v>14543.48</v>
      </c>
      <c r="T697" t="s">
        <v>45</v>
      </c>
    </row>
    <row r="698" spans="1:20" x14ac:dyDescent="0.35">
      <c r="A698" t="s">
        <v>2594</v>
      </c>
      <c r="B698" t="s">
        <v>2595</v>
      </c>
      <c r="C698" t="s">
        <v>2596</v>
      </c>
      <c r="D698">
        <v>44748</v>
      </c>
      <c r="E698" t="s">
        <v>34</v>
      </c>
      <c r="F698">
        <v>9673.82</v>
      </c>
      <c r="G698">
        <v>39320.49</v>
      </c>
      <c r="H698" t="s">
        <v>49</v>
      </c>
      <c r="I698">
        <v>21</v>
      </c>
      <c r="J698" t="s">
        <v>42</v>
      </c>
      <c r="K698" t="s">
        <v>36</v>
      </c>
      <c r="L698" t="s">
        <v>1066</v>
      </c>
      <c r="M698" t="s">
        <v>28</v>
      </c>
      <c r="N698" t="s">
        <v>29</v>
      </c>
      <c r="O698">
        <v>2.87</v>
      </c>
      <c r="R698">
        <v>450</v>
      </c>
      <c r="S698">
        <v>9558</v>
      </c>
      <c r="T698" t="s">
        <v>30</v>
      </c>
    </row>
    <row r="699" spans="1:20" x14ac:dyDescent="0.35">
      <c r="A699" t="s">
        <v>2597</v>
      </c>
      <c r="B699" t="s">
        <v>2598</v>
      </c>
      <c r="C699" t="s">
        <v>2599</v>
      </c>
      <c r="D699">
        <v>45158</v>
      </c>
      <c r="E699" t="s">
        <v>23</v>
      </c>
      <c r="F699">
        <v>3988.66</v>
      </c>
      <c r="G699">
        <v>12763.47</v>
      </c>
      <c r="H699" t="s">
        <v>49</v>
      </c>
      <c r="I699">
        <v>55</v>
      </c>
      <c r="J699" t="s">
        <v>25</v>
      </c>
      <c r="K699" t="s">
        <v>26</v>
      </c>
      <c r="L699" t="s">
        <v>2224</v>
      </c>
      <c r="M699" t="s">
        <v>38</v>
      </c>
      <c r="N699" t="s">
        <v>44</v>
      </c>
      <c r="O699">
        <v>3.51</v>
      </c>
      <c r="P699">
        <v>43825.48</v>
      </c>
      <c r="Q699">
        <v>23</v>
      </c>
      <c r="R699">
        <v>727</v>
      </c>
      <c r="S699">
        <v>13812.52</v>
      </c>
      <c r="T699" t="s">
        <v>63</v>
      </c>
    </row>
    <row r="700" spans="1:20" x14ac:dyDescent="0.35">
      <c r="A700" t="s">
        <v>2600</v>
      </c>
      <c r="B700" t="s">
        <v>2601</v>
      </c>
      <c r="C700" t="s">
        <v>2602</v>
      </c>
      <c r="D700">
        <v>44668</v>
      </c>
      <c r="E700" t="s">
        <v>23</v>
      </c>
      <c r="F700">
        <v>8556.7999999999993</v>
      </c>
      <c r="G700">
        <v>8071.15</v>
      </c>
      <c r="H700" t="s">
        <v>49</v>
      </c>
      <c r="I700">
        <v>42</v>
      </c>
      <c r="J700" t="s">
        <v>42</v>
      </c>
      <c r="K700" t="s">
        <v>50</v>
      </c>
      <c r="L700" t="s">
        <v>2603</v>
      </c>
      <c r="M700" t="s">
        <v>52</v>
      </c>
      <c r="N700" t="s">
        <v>62</v>
      </c>
      <c r="O700">
        <v>4.18</v>
      </c>
      <c r="R700">
        <v>766</v>
      </c>
      <c r="S700">
        <v>12510.67</v>
      </c>
      <c r="T700" t="s">
        <v>30</v>
      </c>
    </row>
    <row r="701" spans="1:20" x14ac:dyDescent="0.35">
      <c r="A701" t="s">
        <v>2604</v>
      </c>
      <c r="B701" t="s">
        <v>2605</v>
      </c>
      <c r="C701" t="s">
        <v>2606</v>
      </c>
      <c r="D701">
        <v>44659</v>
      </c>
      <c r="E701" t="s">
        <v>23</v>
      </c>
      <c r="F701">
        <v>7753.58</v>
      </c>
      <c r="G701">
        <v>6669.36</v>
      </c>
      <c r="H701" t="s">
        <v>125</v>
      </c>
      <c r="I701">
        <v>22</v>
      </c>
      <c r="J701" t="s">
        <v>42</v>
      </c>
      <c r="K701" t="s">
        <v>36</v>
      </c>
      <c r="L701" t="s">
        <v>1348</v>
      </c>
      <c r="M701" t="s">
        <v>28</v>
      </c>
      <c r="N701" t="s">
        <v>29</v>
      </c>
      <c r="O701">
        <v>4.88</v>
      </c>
      <c r="P701">
        <v>24496.28</v>
      </c>
      <c r="Q701">
        <v>20</v>
      </c>
      <c r="R701">
        <v>366</v>
      </c>
      <c r="S701">
        <v>13630.68</v>
      </c>
      <c r="T701" t="s">
        <v>30</v>
      </c>
    </row>
    <row r="702" spans="1:20" x14ac:dyDescent="0.35">
      <c r="A702" t="s">
        <v>2607</v>
      </c>
      <c r="B702" t="s">
        <v>2608</v>
      </c>
      <c r="C702" t="s">
        <v>2609</v>
      </c>
      <c r="D702">
        <v>44950</v>
      </c>
      <c r="E702" t="s">
        <v>56</v>
      </c>
      <c r="F702">
        <v>3169</v>
      </c>
      <c r="G702">
        <v>2335.25</v>
      </c>
      <c r="H702" t="s">
        <v>49</v>
      </c>
      <c r="I702">
        <v>47</v>
      </c>
      <c r="J702" t="s">
        <v>42</v>
      </c>
      <c r="K702" t="s">
        <v>50</v>
      </c>
      <c r="L702" t="s">
        <v>2610</v>
      </c>
      <c r="M702" t="s">
        <v>52</v>
      </c>
      <c r="N702" t="s">
        <v>62</v>
      </c>
      <c r="O702">
        <v>2.87</v>
      </c>
      <c r="Q702">
        <v>27</v>
      </c>
      <c r="R702">
        <v>455</v>
      </c>
      <c r="S702">
        <v>2151.15</v>
      </c>
      <c r="T702" t="s">
        <v>30</v>
      </c>
    </row>
    <row r="703" spans="1:20" x14ac:dyDescent="0.35">
      <c r="A703" t="s">
        <v>2611</v>
      </c>
      <c r="B703" t="s">
        <v>2261</v>
      </c>
      <c r="C703" t="s">
        <v>2612</v>
      </c>
      <c r="D703">
        <v>44578</v>
      </c>
      <c r="E703" t="s">
        <v>56</v>
      </c>
      <c r="F703">
        <v>2397.19</v>
      </c>
      <c r="G703">
        <v>26655.74</v>
      </c>
      <c r="H703" t="s">
        <v>24</v>
      </c>
      <c r="I703">
        <v>29</v>
      </c>
      <c r="J703" t="s">
        <v>42</v>
      </c>
      <c r="K703" t="s">
        <v>26</v>
      </c>
      <c r="L703" t="s">
        <v>2613</v>
      </c>
      <c r="M703" t="s">
        <v>28</v>
      </c>
      <c r="N703" t="s">
        <v>44</v>
      </c>
      <c r="O703">
        <v>3.29</v>
      </c>
      <c r="R703">
        <v>505</v>
      </c>
      <c r="S703">
        <v>14556.74</v>
      </c>
      <c r="T703" t="s">
        <v>45</v>
      </c>
    </row>
    <row r="704" spans="1:20" x14ac:dyDescent="0.35">
      <c r="A704" t="s">
        <v>2614</v>
      </c>
      <c r="B704" t="s">
        <v>2615</v>
      </c>
      <c r="C704" t="s">
        <v>2616</v>
      </c>
      <c r="D704">
        <v>44884</v>
      </c>
      <c r="E704" t="s">
        <v>56</v>
      </c>
      <c r="F704">
        <v>4636.5200000000004</v>
      </c>
      <c r="G704">
        <v>11694.73</v>
      </c>
      <c r="H704" t="s">
        <v>125</v>
      </c>
      <c r="I704">
        <v>21</v>
      </c>
      <c r="J704" t="s">
        <v>42</v>
      </c>
      <c r="K704" t="s">
        <v>36</v>
      </c>
      <c r="L704" t="s">
        <v>634</v>
      </c>
      <c r="M704" t="s">
        <v>28</v>
      </c>
      <c r="N704" t="s">
        <v>44</v>
      </c>
      <c r="O704">
        <v>2.78</v>
      </c>
      <c r="Q704">
        <v>22</v>
      </c>
      <c r="R704">
        <v>454</v>
      </c>
      <c r="S704">
        <v>8155.89</v>
      </c>
      <c r="T704" t="s">
        <v>45</v>
      </c>
    </row>
    <row r="705" spans="1:20" x14ac:dyDescent="0.35">
      <c r="A705" t="s">
        <v>2617</v>
      </c>
      <c r="B705" t="s">
        <v>1328</v>
      </c>
      <c r="C705" t="s">
        <v>2618</v>
      </c>
      <c r="D705">
        <v>44773</v>
      </c>
      <c r="E705" t="s">
        <v>34</v>
      </c>
      <c r="F705">
        <v>7835.35</v>
      </c>
      <c r="G705">
        <v>49482.16</v>
      </c>
      <c r="H705" t="s">
        <v>35</v>
      </c>
      <c r="I705">
        <v>41</v>
      </c>
      <c r="J705" t="s">
        <v>42</v>
      </c>
      <c r="K705" t="s">
        <v>36</v>
      </c>
      <c r="L705" t="s">
        <v>675</v>
      </c>
      <c r="M705" t="s">
        <v>38</v>
      </c>
      <c r="N705" t="s">
        <v>29</v>
      </c>
      <c r="O705">
        <v>3.67</v>
      </c>
      <c r="Q705">
        <v>21</v>
      </c>
      <c r="R705">
        <v>808</v>
      </c>
      <c r="S705">
        <v>12376.38</v>
      </c>
      <c r="T705" t="s">
        <v>63</v>
      </c>
    </row>
    <row r="706" spans="1:20" x14ac:dyDescent="0.35">
      <c r="A706" t="s">
        <v>2619</v>
      </c>
      <c r="B706" t="s">
        <v>2620</v>
      </c>
      <c r="C706" t="s">
        <v>2621</v>
      </c>
      <c r="D706">
        <v>44987</v>
      </c>
      <c r="E706" t="s">
        <v>56</v>
      </c>
      <c r="F706">
        <v>9605.66</v>
      </c>
      <c r="G706">
        <v>29147.4</v>
      </c>
      <c r="H706" t="s">
        <v>100</v>
      </c>
      <c r="I706">
        <v>46</v>
      </c>
      <c r="J706" t="s">
        <v>42</v>
      </c>
      <c r="K706" t="s">
        <v>36</v>
      </c>
      <c r="L706" t="s">
        <v>445</v>
      </c>
      <c r="M706" t="s">
        <v>38</v>
      </c>
      <c r="N706" t="s">
        <v>62</v>
      </c>
      <c r="O706">
        <v>3.52</v>
      </c>
      <c r="P706">
        <v>35215.61</v>
      </c>
      <c r="Q706">
        <v>29</v>
      </c>
      <c r="R706">
        <v>373</v>
      </c>
      <c r="S706">
        <v>3653.65</v>
      </c>
      <c r="T706" t="s">
        <v>63</v>
      </c>
    </row>
    <row r="707" spans="1:20" x14ac:dyDescent="0.35">
      <c r="A707" t="s">
        <v>2622</v>
      </c>
      <c r="B707" t="s">
        <v>2623</v>
      </c>
      <c r="C707" t="s">
        <v>2624</v>
      </c>
      <c r="D707">
        <v>44670</v>
      </c>
      <c r="E707" t="s">
        <v>34</v>
      </c>
      <c r="F707">
        <v>7659.43</v>
      </c>
      <c r="G707">
        <v>7756.38</v>
      </c>
      <c r="H707" t="s">
        <v>49</v>
      </c>
      <c r="I707">
        <v>26</v>
      </c>
      <c r="J707" t="s">
        <v>25</v>
      </c>
      <c r="K707" t="s">
        <v>50</v>
      </c>
      <c r="L707" t="s">
        <v>538</v>
      </c>
      <c r="M707" t="s">
        <v>52</v>
      </c>
      <c r="N707" t="s">
        <v>29</v>
      </c>
      <c r="O707">
        <v>1.07</v>
      </c>
      <c r="R707">
        <v>348</v>
      </c>
      <c r="S707">
        <v>7147.23</v>
      </c>
      <c r="T707" t="s">
        <v>30</v>
      </c>
    </row>
    <row r="708" spans="1:20" x14ac:dyDescent="0.35">
      <c r="A708" t="s">
        <v>2625</v>
      </c>
      <c r="B708" t="s">
        <v>2626</v>
      </c>
      <c r="C708" t="s">
        <v>2627</v>
      </c>
      <c r="D708">
        <v>44751</v>
      </c>
      <c r="E708" t="s">
        <v>23</v>
      </c>
      <c r="F708">
        <v>8566.5499999999993</v>
      </c>
      <c r="G708">
        <v>34749.360000000001</v>
      </c>
      <c r="H708" t="s">
        <v>35</v>
      </c>
      <c r="I708">
        <v>21</v>
      </c>
      <c r="J708" t="s">
        <v>25</v>
      </c>
      <c r="K708" t="s">
        <v>26</v>
      </c>
      <c r="L708" t="s">
        <v>2628</v>
      </c>
      <c r="M708" t="s">
        <v>38</v>
      </c>
      <c r="N708" t="s">
        <v>44</v>
      </c>
      <c r="O708">
        <v>3.16</v>
      </c>
      <c r="R708">
        <v>766</v>
      </c>
      <c r="S708">
        <v>5528.99</v>
      </c>
      <c r="T708" t="s">
        <v>63</v>
      </c>
    </row>
    <row r="709" spans="1:20" x14ac:dyDescent="0.35">
      <c r="A709" t="s">
        <v>2629</v>
      </c>
      <c r="B709" t="s">
        <v>2630</v>
      </c>
      <c r="C709" t="s">
        <v>2631</v>
      </c>
      <c r="D709">
        <v>44709</v>
      </c>
      <c r="E709" t="s">
        <v>56</v>
      </c>
      <c r="F709">
        <v>6070.34</v>
      </c>
      <c r="G709">
        <v>44989.43</v>
      </c>
      <c r="H709" t="s">
        <v>24</v>
      </c>
      <c r="I709">
        <v>68</v>
      </c>
      <c r="J709" t="s">
        <v>42</v>
      </c>
      <c r="K709" t="s">
        <v>50</v>
      </c>
      <c r="L709" t="s">
        <v>910</v>
      </c>
      <c r="M709" t="s">
        <v>38</v>
      </c>
      <c r="N709" t="s">
        <v>62</v>
      </c>
      <c r="O709">
        <v>1.35</v>
      </c>
      <c r="P709">
        <v>36464.39</v>
      </c>
      <c r="R709">
        <v>478</v>
      </c>
      <c r="S709">
        <v>5791.56</v>
      </c>
      <c r="T709" t="s">
        <v>30</v>
      </c>
    </row>
    <row r="710" spans="1:20" x14ac:dyDescent="0.35">
      <c r="A710" t="s">
        <v>2632</v>
      </c>
      <c r="B710" t="s">
        <v>2633</v>
      </c>
      <c r="C710" t="s">
        <v>2634</v>
      </c>
      <c r="D710">
        <v>44759</v>
      </c>
      <c r="E710" t="s">
        <v>56</v>
      </c>
      <c r="F710">
        <v>8370.5400000000009</v>
      </c>
      <c r="G710">
        <v>37513.800000000003</v>
      </c>
      <c r="H710" t="s">
        <v>100</v>
      </c>
      <c r="I710">
        <v>41</v>
      </c>
      <c r="J710" t="s">
        <v>42</v>
      </c>
      <c r="K710" t="s">
        <v>36</v>
      </c>
      <c r="L710" t="s">
        <v>2635</v>
      </c>
      <c r="M710" t="s">
        <v>38</v>
      </c>
      <c r="N710" t="s">
        <v>29</v>
      </c>
      <c r="O710">
        <v>1.1100000000000001</v>
      </c>
      <c r="Q710">
        <v>3</v>
      </c>
      <c r="R710">
        <v>347</v>
      </c>
      <c r="S710">
        <v>3602.32</v>
      </c>
      <c r="T710" t="s">
        <v>63</v>
      </c>
    </row>
    <row r="711" spans="1:20" x14ac:dyDescent="0.35">
      <c r="A711" t="s">
        <v>2636</v>
      </c>
      <c r="B711" t="s">
        <v>2637</v>
      </c>
      <c r="C711" t="s">
        <v>2638</v>
      </c>
      <c r="D711">
        <v>45079</v>
      </c>
      <c r="E711" t="s">
        <v>71</v>
      </c>
      <c r="F711">
        <v>7865.77</v>
      </c>
      <c r="G711">
        <v>4745.55</v>
      </c>
      <c r="H711" t="s">
        <v>35</v>
      </c>
      <c r="I711">
        <v>31</v>
      </c>
      <c r="J711" t="s">
        <v>42</v>
      </c>
      <c r="K711" t="s">
        <v>26</v>
      </c>
      <c r="L711" t="s">
        <v>974</v>
      </c>
      <c r="M711" t="s">
        <v>28</v>
      </c>
      <c r="N711" t="s">
        <v>29</v>
      </c>
      <c r="O711">
        <v>4.16</v>
      </c>
      <c r="P711">
        <v>23486.42</v>
      </c>
      <c r="Q711">
        <v>5</v>
      </c>
      <c r="R711">
        <v>371</v>
      </c>
      <c r="S711">
        <v>12474.93</v>
      </c>
      <c r="T711" t="s">
        <v>30</v>
      </c>
    </row>
    <row r="712" spans="1:20" x14ac:dyDescent="0.35">
      <c r="A712" t="s">
        <v>2639</v>
      </c>
      <c r="B712" t="s">
        <v>2640</v>
      </c>
      <c r="C712" t="s">
        <v>2641</v>
      </c>
      <c r="D712">
        <v>45028</v>
      </c>
      <c r="E712" t="s">
        <v>34</v>
      </c>
      <c r="F712">
        <v>3832.16</v>
      </c>
      <c r="G712">
        <v>44898.32</v>
      </c>
      <c r="H712" t="s">
        <v>100</v>
      </c>
      <c r="I712">
        <v>22</v>
      </c>
      <c r="J712" t="s">
        <v>25</v>
      </c>
      <c r="K712" t="s">
        <v>36</v>
      </c>
      <c r="L712" t="s">
        <v>810</v>
      </c>
      <c r="M712" t="s">
        <v>38</v>
      </c>
      <c r="N712" t="s">
        <v>29</v>
      </c>
      <c r="O712">
        <v>2.0299999999999998</v>
      </c>
      <c r="Q712">
        <v>9</v>
      </c>
      <c r="R712">
        <v>412</v>
      </c>
      <c r="S712">
        <v>2120.15</v>
      </c>
      <c r="T712" t="s">
        <v>45</v>
      </c>
    </row>
    <row r="713" spans="1:20" x14ac:dyDescent="0.35">
      <c r="A713" t="s">
        <v>2642</v>
      </c>
      <c r="B713" t="s">
        <v>2643</v>
      </c>
      <c r="C713" t="s">
        <v>2644</v>
      </c>
      <c r="D713">
        <v>45065</v>
      </c>
      <c r="E713" t="s">
        <v>23</v>
      </c>
      <c r="F713">
        <v>5564.7</v>
      </c>
      <c r="G713">
        <v>39902.54</v>
      </c>
      <c r="H713" t="s">
        <v>49</v>
      </c>
      <c r="I713">
        <v>35</v>
      </c>
      <c r="J713" t="s">
        <v>25</v>
      </c>
      <c r="K713" t="s">
        <v>36</v>
      </c>
      <c r="L713" t="s">
        <v>955</v>
      </c>
      <c r="M713" t="s">
        <v>52</v>
      </c>
      <c r="N713" t="s">
        <v>44</v>
      </c>
      <c r="O713">
        <v>2.36</v>
      </c>
      <c r="Q713">
        <v>7</v>
      </c>
      <c r="R713">
        <v>458</v>
      </c>
      <c r="S713">
        <v>6062.57</v>
      </c>
      <c r="T713" t="s">
        <v>30</v>
      </c>
    </row>
    <row r="714" spans="1:20" x14ac:dyDescent="0.35">
      <c r="A714" t="s">
        <v>2645</v>
      </c>
      <c r="B714" t="s">
        <v>2646</v>
      </c>
      <c r="C714" t="s">
        <v>2647</v>
      </c>
      <c r="D714">
        <v>44920</v>
      </c>
      <c r="E714" t="s">
        <v>71</v>
      </c>
      <c r="F714">
        <v>8067.06</v>
      </c>
      <c r="G714">
        <v>8756.89</v>
      </c>
      <c r="H714" t="s">
        <v>24</v>
      </c>
      <c r="I714">
        <v>59</v>
      </c>
      <c r="J714" t="s">
        <v>42</v>
      </c>
      <c r="K714" t="s">
        <v>50</v>
      </c>
      <c r="L714" t="s">
        <v>2648</v>
      </c>
      <c r="M714" t="s">
        <v>28</v>
      </c>
      <c r="N714" t="s">
        <v>29</v>
      </c>
      <c r="O714">
        <v>1.26</v>
      </c>
      <c r="R714">
        <v>329</v>
      </c>
      <c r="S714">
        <v>4267.34</v>
      </c>
      <c r="T714" t="s">
        <v>45</v>
      </c>
    </row>
    <row r="715" spans="1:20" x14ac:dyDescent="0.35">
      <c r="A715" t="s">
        <v>2649</v>
      </c>
      <c r="B715" t="s">
        <v>2096</v>
      </c>
      <c r="C715" t="s">
        <v>2650</v>
      </c>
      <c r="D715">
        <v>45053</v>
      </c>
      <c r="E715" t="s">
        <v>71</v>
      </c>
      <c r="F715">
        <v>555.96</v>
      </c>
      <c r="G715">
        <v>3537.51</v>
      </c>
      <c r="H715" t="s">
        <v>100</v>
      </c>
      <c r="I715">
        <v>36</v>
      </c>
      <c r="J715" t="s">
        <v>25</v>
      </c>
      <c r="K715" t="s">
        <v>36</v>
      </c>
      <c r="L715" t="s">
        <v>1326</v>
      </c>
      <c r="M715" t="s">
        <v>28</v>
      </c>
      <c r="N715" t="s">
        <v>62</v>
      </c>
      <c r="O715">
        <v>1.72</v>
      </c>
      <c r="Q715">
        <v>4</v>
      </c>
      <c r="R715">
        <v>396</v>
      </c>
      <c r="S715">
        <v>9657.51</v>
      </c>
      <c r="T715" t="s">
        <v>45</v>
      </c>
    </row>
    <row r="716" spans="1:20" x14ac:dyDescent="0.35">
      <c r="A716" t="s">
        <v>2651</v>
      </c>
      <c r="B716" t="s">
        <v>2652</v>
      </c>
      <c r="C716" t="s">
        <v>2653</v>
      </c>
      <c r="D716">
        <v>44615</v>
      </c>
      <c r="E716" t="s">
        <v>23</v>
      </c>
      <c r="F716">
        <v>8099.98</v>
      </c>
      <c r="G716">
        <v>28308.22</v>
      </c>
      <c r="H716" t="s">
        <v>35</v>
      </c>
      <c r="I716">
        <v>29</v>
      </c>
      <c r="J716" t="s">
        <v>42</v>
      </c>
      <c r="K716" t="s">
        <v>26</v>
      </c>
      <c r="L716" t="s">
        <v>2654</v>
      </c>
      <c r="M716" t="s">
        <v>38</v>
      </c>
      <c r="N716" t="s">
        <v>29</v>
      </c>
      <c r="O716">
        <v>4.0599999999999996</v>
      </c>
      <c r="Q716">
        <v>7</v>
      </c>
      <c r="R716">
        <v>550</v>
      </c>
      <c r="S716">
        <v>5305.28</v>
      </c>
      <c r="T716" t="s">
        <v>63</v>
      </c>
    </row>
    <row r="717" spans="1:20" x14ac:dyDescent="0.35">
      <c r="A717" t="s">
        <v>2655</v>
      </c>
      <c r="B717" t="s">
        <v>2656</v>
      </c>
      <c r="C717" t="s">
        <v>2657</v>
      </c>
      <c r="D717">
        <v>44826</v>
      </c>
      <c r="E717" t="s">
        <v>71</v>
      </c>
      <c r="F717">
        <v>1861.09</v>
      </c>
      <c r="G717">
        <v>8645.75</v>
      </c>
      <c r="H717" t="s">
        <v>49</v>
      </c>
      <c r="I717">
        <v>35</v>
      </c>
      <c r="J717" t="s">
        <v>42</v>
      </c>
      <c r="K717" t="s">
        <v>36</v>
      </c>
      <c r="L717" t="s">
        <v>2658</v>
      </c>
      <c r="M717" t="s">
        <v>28</v>
      </c>
      <c r="N717" t="s">
        <v>44</v>
      </c>
      <c r="O717">
        <v>2.97</v>
      </c>
      <c r="Q717">
        <v>5</v>
      </c>
      <c r="R717">
        <v>818</v>
      </c>
      <c r="S717">
        <v>5366.98</v>
      </c>
      <c r="T717" t="s">
        <v>63</v>
      </c>
    </row>
    <row r="718" spans="1:20" x14ac:dyDescent="0.35">
      <c r="A718" t="s">
        <v>2659</v>
      </c>
      <c r="B718" t="s">
        <v>2660</v>
      </c>
      <c r="C718" t="s">
        <v>2661</v>
      </c>
      <c r="D718">
        <v>44812</v>
      </c>
      <c r="E718" t="s">
        <v>34</v>
      </c>
      <c r="F718">
        <v>5195.37</v>
      </c>
      <c r="G718">
        <v>41894.959999999999</v>
      </c>
      <c r="H718" t="s">
        <v>49</v>
      </c>
      <c r="I718">
        <v>34</v>
      </c>
      <c r="J718" t="s">
        <v>42</v>
      </c>
      <c r="K718" t="s">
        <v>36</v>
      </c>
      <c r="L718" t="s">
        <v>92</v>
      </c>
      <c r="M718" t="s">
        <v>52</v>
      </c>
      <c r="N718" t="s">
        <v>29</v>
      </c>
      <c r="O718">
        <v>4.5199999999999996</v>
      </c>
      <c r="P718">
        <v>18542.849999999999</v>
      </c>
      <c r="R718">
        <v>391</v>
      </c>
      <c r="S718">
        <v>8348.4</v>
      </c>
      <c r="T718" t="s">
        <v>45</v>
      </c>
    </row>
    <row r="719" spans="1:20" x14ac:dyDescent="0.35">
      <c r="A719" t="s">
        <v>2662</v>
      </c>
      <c r="B719" t="s">
        <v>2663</v>
      </c>
      <c r="C719" t="s">
        <v>2664</v>
      </c>
      <c r="D719">
        <v>45092</v>
      </c>
      <c r="E719" t="s">
        <v>34</v>
      </c>
      <c r="F719">
        <v>8101.93</v>
      </c>
      <c r="G719">
        <v>18558.400000000001</v>
      </c>
      <c r="H719" t="s">
        <v>35</v>
      </c>
      <c r="I719">
        <v>47</v>
      </c>
      <c r="J719" t="s">
        <v>42</v>
      </c>
      <c r="K719" t="s">
        <v>50</v>
      </c>
      <c r="L719" t="s">
        <v>641</v>
      </c>
      <c r="M719" t="s">
        <v>52</v>
      </c>
      <c r="N719" t="s">
        <v>44</v>
      </c>
      <c r="O719">
        <v>2.59</v>
      </c>
      <c r="P719">
        <v>29272.07</v>
      </c>
      <c r="Q719">
        <v>29</v>
      </c>
      <c r="R719">
        <v>412</v>
      </c>
      <c r="S719">
        <v>10484.959999999999</v>
      </c>
      <c r="T719" t="s">
        <v>30</v>
      </c>
    </row>
    <row r="720" spans="1:20" x14ac:dyDescent="0.35">
      <c r="A720" t="s">
        <v>2665</v>
      </c>
      <c r="B720" t="s">
        <v>2666</v>
      </c>
      <c r="C720" t="s">
        <v>2667</v>
      </c>
      <c r="D720">
        <v>44751</v>
      </c>
      <c r="E720" t="s">
        <v>56</v>
      </c>
      <c r="F720">
        <v>2612.83</v>
      </c>
      <c r="G720">
        <v>45731.73</v>
      </c>
      <c r="H720" t="s">
        <v>35</v>
      </c>
      <c r="I720">
        <v>41</v>
      </c>
      <c r="J720" t="s">
        <v>42</v>
      </c>
      <c r="K720" t="s">
        <v>26</v>
      </c>
      <c r="L720" t="s">
        <v>566</v>
      </c>
      <c r="M720" t="s">
        <v>28</v>
      </c>
      <c r="N720" t="s">
        <v>44</v>
      </c>
      <c r="O720">
        <v>2.0699999999999998</v>
      </c>
      <c r="R720">
        <v>558</v>
      </c>
      <c r="S720">
        <v>3576.96</v>
      </c>
      <c r="T720" t="s">
        <v>30</v>
      </c>
    </row>
    <row r="721" spans="1:20" x14ac:dyDescent="0.35">
      <c r="A721" t="s">
        <v>2668</v>
      </c>
      <c r="B721" t="s">
        <v>2669</v>
      </c>
      <c r="C721" t="s">
        <v>2670</v>
      </c>
      <c r="D721">
        <v>45106</v>
      </c>
      <c r="E721" t="s">
        <v>71</v>
      </c>
      <c r="F721">
        <v>2533.4899999999998</v>
      </c>
      <c r="G721">
        <v>28718.720000000001</v>
      </c>
      <c r="H721" t="s">
        <v>100</v>
      </c>
      <c r="I721">
        <v>28</v>
      </c>
      <c r="J721" t="s">
        <v>42</v>
      </c>
      <c r="K721" t="s">
        <v>50</v>
      </c>
      <c r="L721" t="s">
        <v>690</v>
      </c>
      <c r="M721" t="s">
        <v>38</v>
      </c>
      <c r="N721" t="s">
        <v>62</v>
      </c>
      <c r="O721">
        <v>2.39</v>
      </c>
      <c r="R721">
        <v>406</v>
      </c>
      <c r="S721">
        <v>4281.6499999999996</v>
      </c>
      <c r="T721" t="s">
        <v>63</v>
      </c>
    </row>
    <row r="722" spans="1:20" x14ac:dyDescent="0.35">
      <c r="A722" t="s">
        <v>2671</v>
      </c>
      <c r="B722" t="s">
        <v>2672</v>
      </c>
      <c r="C722" t="s">
        <v>2673</v>
      </c>
      <c r="D722">
        <v>45156</v>
      </c>
      <c r="E722" t="s">
        <v>56</v>
      </c>
      <c r="F722">
        <v>4087.37</v>
      </c>
      <c r="G722">
        <v>9950.9500000000007</v>
      </c>
      <c r="H722" t="s">
        <v>125</v>
      </c>
      <c r="I722">
        <v>52</v>
      </c>
      <c r="J722" t="s">
        <v>42</v>
      </c>
      <c r="K722" t="s">
        <v>36</v>
      </c>
      <c r="L722" t="s">
        <v>1294</v>
      </c>
      <c r="M722" t="s">
        <v>38</v>
      </c>
      <c r="N722" t="s">
        <v>62</v>
      </c>
      <c r="O722">
        <v>3.85</v>
      </c>
      <c r="P722">
        <v>21037.21</v>
      </c>
      <c r="Q722">
        <v>13</v>
      </c>
      <c r="R722">
        <v>689</v>
      </c>
      <c r="S722">
        <v>5213.2700000000004</v>
      </c>
      <c r="T722" t="s">
        <v>30</v>
      </c>
    </row>
    <row r="723" spans="1:20" x14ac:dyDescent="0.35">
      <c r="A723" t="s">
        <v>2674</v>
      </c>
      <c r="B723" t="s">
        <v>2675</v>
      </c>
      <c r="C723" t="s">
        <v>2676</v>
      </c>
      <c r="D723">
        <v>45134</v>
      </c>
      <c r="E723" t="s">
        <v>71</v>
      </c>
      <c r="F723">
        <v>8956.9599999999991</v>
      </c>
      <c r="G723">
        <v>7840.34</v>
      </c>
      <c r="H723" t="s">
        <v>49</v>
      </c>
      <c r="I723">
        <v>40</v>
      </c>
      <c r="J723" t="s">
        <v>25</v>
      </c>
      <c r="K723" t="s">
        <v>50</v>
      </c>
      <c r="L723" t="s">
        <v>2677</v>
      </c>
      <c r="M723" t="s">
        <v>28</v>
      </c>
      <c r="N723" t="s">
        <v>29</v>
      </c>
      <c r="O723">
        <v>3.22</v>
      </c>
      <c r="P723">
        <v>16526.79</v>
      </c>
      <c r="Q723">
        <v>22</v>
      </c>
      <c r="R723">
        <v>657</v>
      </c>
      <c r="S723">
        <v>14658.73</v>
      </c>
      <c r="T723" t="s">
        <v>30</v>
      </c>
    </row>
    <row r="724" spans="1:20" x14ac:dyDescent="0.35">
      <c r="A724" t="s">
        <v>2678</v>
      </c>
      <c r="B724" t="s">
        <v>2679</v>
      </c>
      <c r="C724" t="s">
        <v>2680</v>
      </c>
      <c r="D724">
        <v>45087</v>
      </c>
      <c r="E724" t="s">
        <v>34</v>
      </c>
      <c r="F724">
        <v>104.38</v>
      </c>
      <c r="G724">
        <v>29247.15</v>
      </c>
      <c r="H724" t="s">
        <v>100</v>
      </c>
      <c r="I724">
        <v>34</v>
      </c>
      <c r="J724" t="s">
        <v>42</v>
      </c>
      <c r="K724" t="s">
        <v>50</v>
      </c>
      <c r="L724" t="s">
        <v>1161</v>
      </c>
      <c r="M724" t="s">
        <v>52</v>
      </c>
      <c r="N724" t="s">
        <v>44</v>
      </c>
      <c r="O724">
        <v>4.62</v>
      </c>
      <c r="Q724">
        <v>16</v>
      </c>
      <c r="R724">
        <v>498</v>
      </c>
      <c r="S724">
        <v>7162.98</v>
      </c>
      <c r="T724" t="s">
        <v>30</v>
      </c>
    </row>
    <row r="725" spans="1:20" x14ac:dyDescent="0.35">
      <c r="A725" t="s">
        <v>2681</v>
      </c>
      <c r="B725" t="s">
        <v>2682</v>
      </c>
      <c r="C725" t="s">
        <v>2683</v>
      </c>
      <c r="D725">
        <v>45143</v>
      </c>
      <c r="E725" t="s">
        <v>34</v>
      </c>
      <c r="F725">
        <v>9023.69</v>
      </c>
      <c r="G725">
        <v>38332.300000000003</v>
      </c>
      <c r="H725" t="s">
        <v>35</v>
      </c>
      <c r="I725">
        <v>18</v>
      </c>
      <c r="J725" t="s">
        <v>25</v>
      </c>
      <c r="K725" t="s">
        <v>50</v>
      </c>
      <c r="L725" t="s">
        <v>1649</v>
      </c>
      <c r="M725" t="s">
        <v>28</v>
      </c>
      <c r="N725" t="s">
        <v>44</v>
      </c>
      <c r="O725">
        <v>3.41</v>
      </c>
      <c r="Q725">
        <v>7</v>
      </c>
      <c r="R725">
        <v>726</v>
      </c>
      <c r="S725">
        <v>9786.8700000000008</v>
      </c>
      <c r="T725" t="s">
        <v>45</v>
      </c>
    </row>
    <row r="726" spans="1:20" x14ac:dyDescent="0.35">
      <c r="A726" t="s">
        <v>2684</v>
      </c>
      <c r="B726" t="s">
        <v>2685</v>
      </c>
      <c r="C726" t="s">
        <v>2686</v>
      </c>
      <c r="D726">
        <v>45145</v>
      </c>
      <c r="E726" t="s">
        <v>34</v>
      </c>
      <c r="F726">
        <v>1622.69</v>
      </c>
      <c r="G726">
        <v>39293.78</v>
      </c>
      <c r="H726" t="s">
        <v>100</v>
      </c>
      <c r="I726">
        <v>32</v>
      </c>
      <c r="J726" t="s">
        <v>42</v>
      </c>
      <c r="K726" t="s">
        <v>50</v>
      </c>
      <c r="L726" t="s">
        <v>170</v>
      </c>
      <c r="M726" t="s">
        <v>38</v>
      </c>
      <c r="N726" t="s">
        <v>62</v>
      </c>
      <c r="O726">
        <v>2.97</v>
      </c>
      <c r="R726">
        <v>777</v>
      </c>
      <c r="S726">
        <v>5140.0600000000004</v>
      </c>
      <c r="T726" t="s">
        <v>45</v>
      </c>
    </row>
    <row r="727" spans="1:20" x14ac:dyDescent="0.35">
      <c r="A727" t="s">
        <v>2687</v>
      </c>
      <c r="B727" t="s">
        <v>2688</v>
      </c>
      <c r="C727" t="s">
        <v>2689</v>
      </c>
      <c r="D727">
        <v>44862</v>
      </c>
      <c r="E727" t="s">
        <v>71</v>
      </c>
      <c r="F727">
        <v>9901.86</v>
      </c>
      <c r="G727">
        <v>14512.11</v>
      </c>
      <c r="H727" t="s">
        <v>35</v>
      </c>
      <c r="I727">
        <v>49</v>
      </c>
      <c r="J727" t="s">
        <v>42</v>
      </c>
      <c r="K727" t="s">
        <v>36</v>
      </c>
      <c r="L727" t="s">
        <v>2690</v>
      </c>
      <c r="M727" t="s">
        <v>38</v>
      </c>
      <c r="N727" t="s">
        <v>62</v>
      </c>
      <c r="O727">
        <v>4.1399999999999997</v>
      </c>
      <c r="R727">
        <v>802</v>
      </c>
      <c r="S727">
        <v>8375.9699999999993</v>
      </c>
      <c r="T727" t="s">
        <v>30</v>
      </c>
    </row>
    <row r="728" spans="1:20" x14ac:dyDescent="0.35">
      <c r="A728" t="s">
        <v>2691</v>
      </c>
      <c r="B728" t="s">
        <v>2692</v>
      </c>
      <c r="C728" t="s">
        <v>2693</v>
      </c>
      <c r="D728">
        <v>44655</v>
      </c>
      <c r="E728" t="s">
        <v>34</v>
      </c>
      <c r="F728">
        <v>9552.99</v>
      </c>
      <c r="G728">
        <v>11008.09</v>
      </c>
      <c r="H728" t="s">
        <v>24</v>
      </c>
      <c r="I728">
        <v>26</v>
      </c>
      <c r="J728" t="s">
        <v>25</v>
      </c>
      <c r="K728" t="s">
        <v>36</v>
      </c>
      <c r="L728" t="s">
        <v>2694</v>
      </c>
      <c r="M728" t="s">
        <v>28</v>
      </c>
      <c r="N728" t="s">
        <v>29</v>
      </c>
      <c r="O728">
        <v>4.79</v>
      </c>
      <c r="R728">
        <v>419</v>
      </c>
      <c r="S728">
        <v>2963.55</v>
      </c>
      <c r="T728" t="s">
        <v>63</v>
      </c>
    </row>
    <row r="729" spans="1:20" x14ac:dyDescent="0.35">
      <c r="A729" t="s">
        <v>2695</v>
      </c>
      <c r="B729" t="s">
        <v>2696</v>
      </c>
      <c r="C729" t="s">
        <v>2697</v>
      </c>
      <c r="D729">
        <v>45061</v>
      </c>
      <c r="E729" t="s">
        <v>71</v>
      </c>
      <c r="F729">
        <v>4997.28</v>
      </c>
      <c r="G729">
        <v>1821.06</v>
      </c>
      <c r="H729" t="s">
        <v>35</v>
      </c>
      <c r="I729">
        <v>32</v>
      </c>
      <c r="J729" t="s">
        <v>25</v>
      </c>
      <c r="K729" t="s">
        <v>26</v>
      </c>
      <c r="L729" t="s">
        <v>864</v>
      </c>
      <c r="M729" t="s">
        <v>52</v>
      </c>
      <c r="N729" t="s">
        <v>44</v>
      </c>
      <c r="O729">
        <v>2.42</v>
      </c>
      <c r="R729">
        <v>608</v>
      </c>
      <c r="S729">
        <v>2451.65</v>
      </c>
      <c r="T729" t="s">
        <v>30</v>
      </c>
    </row>
    <row r="730" spans="1:20" x14ac:dyDescent="0.35">
      <c r="A730" t="s">
        <v>2698</v>
      </c>
      <c r="B730" t="s">
        <v>2699</v>
      </c>
      <c r="C730" t="s">
        <v>2700</v>
      </c>
      <c r="D730">
        <v>44793</v>
      </c>
      <c r="E730" t="s">
        <v>56</v>
      </c>
      <c r="F730">
        <v>5175.93</v>
      </c>
      <c r="G730">
        <v>34280.76</v>
      </c>
      <c r="H730" t="s">
        <v>35</v>
      </c>
      <c r="I730">
        <v>45</v>
      </c>
      <c r="J730" t="s">
        <v>42</v>
      </c>
      <c r="K730" t="s">
        <v>50</v>
      </c>
      <c r="L730" t="s">
        <v>113</v>
      </c>
      <c r="M730" t="s">
        <v>28</v>
      </c>
      <c r="N730" t="s">
        <v>62</v>
      </c>
      <c r="O730">
        <v>2</v>
      </c>
      <c r="P730">
        <v>34991.160000000003</v>
      </c>
      <c r="R730">
        <v>837</v>
      </c>
      <c r="S730">
        <v>8093.54</v>
      </c>
      <c r="T730" t="s">
        <v>63</v>
      </c>
    </row>
    <row r="731" spans="1:20" x14ac:dyDescent="0.35">
      <c r="A731" t="s">
        <v>2701</v>
      </c>
      <c r="B731" t="s">
        <v>2702</v>
      </c>
      <c r="C731" t="s">
        <v>2703</v>
      </c>
      <c r="D731">
        <v>45011</v>
      </c>
      <c r="E731" t="s">
        <v>71</v>
      </c>
      <c r="F731">
        <v>4867.34</v>
      </c>
      <c r="G731">
        <v>4751.84</v>
      </c>
      <c r="H731" t="s">
        <v>35</v>
      </c>
      <c r="I731">
        <v>41</v>
      </c>
      <c r="J731" t="s">
        <v>25</v>
      </c>
      <c r="K731" t="s">
        <v>50</v>
      </c>
      <c r="L731" t="s">
        <v>1796</v>
      </c>
      <c r="M731" t="s">
        <v>52</v>
      </c>
      <c r="N731" t="s">
        <v>29</v>
      </c>
      <c r="O731">
        <v>3.46</v>
      </c>
      <c r="R731">
        <v>774</v>
      </c>
      <c r="S731">
        <v>7182.57</v>
      </c>
      <c r="T731" t="s">
        <v>45</v>
      </c>
    </row>
    <row r="732" spans="1:20" x14ac:dyDescent="0.35">
      <c r="A732" t="s">
        <v>2704</v>
      </c>
      <c r="B732" t="s">
        <v>2705</v>
      </c>
      <c r="C732" t="s">
        <v>2706</v>
      </c>
      <c r="D732">
        <v>44892</v>
      </c>
      <c r="E732" t="s">
        <v>56</v>
      </c>
      <c r="F732">
        <v>6390.89</v>
      </c>
      <c r="G732">
        <v>21617.3</v>
      </c>
      <c r="H732" t="s">
        <v>125</v>
      </c>
      <c r="I732">
        <v>52</v>
      </c>
      <c r="J732" t="s">
        <v>42</v>
      </c>
      <c r="K732" t="s">
        <v>26</v>
      </c>
      <c r="L732" t="s">
        <v>2707</v>
      </c>
      <c r="M732" t="s">
        <v>52</v>
      </c>
      <c r="N732" t="s">
        <v>44</v>
      </c>
      <c r="O732">
        <v>3</v>
      </c>
      <c r="R732">
        <v>643</v>
      </c>
      <c r="S732">
        <v>3779.44</v>
      </c>
      <c r="T732" t="s">
        <v>30</v>
      </c>
    </row>
    <row r="733" spans="1:20" x14ac:dyDescent="0.35">
      <c r="A733" t="s">
        <v>2708</v>
      </c>
      <c r="B733" t="s">
        <v>2709</v>
      </c>
      <c r="C733" t="s">
        <v>2710</v>
      </c>
      <c r="D733">
        <v>44766</v>
      </c>
      <c r="E733" t="s">
        <v>71</v>
      </c>
      <c r="F733">
        <v>998.14</v>
      </c>
      <c r="G733">
        <v>30482.43</v>
      </c>
      <c r="H733" t="s">
        <v>35</v>
      </c>
      <c r="I733">
        <v>39</v>
      </c>
      <c r="J733" t="s">
        <v>42</v>
      </c>
      <c r="K733" t="s">
        <v>50</v>
      </c>
      <c r="L733" t="s">
        <v>2711</v>
      </c>
      <c r="M733" t="s">
        <v>28</v>
      </c>
      <c r="N733" t="s">
        <v>44</v>
      </c>
      <c r="O733">
        <v>4.96</v>
      </c>
      <c r="P733">
        <v>9804.0300000000007</v>
      </c>
      <c r="R733">
        <v>435</v>
      </c>
      <c r="S733">
        <v>10938.82</v>
      </c>
      <c r="T733" t="s">
        <v>30</v>
      </c>
    </row>
    <row r="734" spans="1:20" x14ac:dyDescent="0.35">
      <c r="A734" t="s">
        <v>2712</v>
      </c>
      <c r="B734" t="s">
        <v>2713</v>
      </c>
      <c r="C734" t="s">
        <v>2714</v>
      </c>
      <c r="D734">
        <v>44701</v>
      </c>
      <c r="E734" t="s">
        <v>56</v>
      </c>
      <c r="F734">
        <v>422.92</v>
      </c>
      <c r="G734">
        <v>46918.34</v>
      </c>
      <c r="H734" t="s">
        <v>49</v>
      </c>
      <c r="I734">
        <v>44</v>
      </c>
      <c r="J734" t="s">
        <v>25</v>
      </c>
      <c r="K734" t="s">
        <v>26</v>
      </c>
      <c r="L734" t="s">
        <v>550</v>
      </c>
      <c r="M734" t="s">
        <v>28</v>
      </c>
      <c r="N734" t="s">
        <v>62</v>
      </c>
      <c r="O734">
        <v>2.85</v>
      </c>
      <c r="P734">
        <v>41747.919999999998</v>
      </c>
      <c r="R734">
        <v>576</v>
      </c>
      <c r="S734">
        <v>14907.75</v>
      </c>
      <c r="T734" t="s">
        <v>63</v>
      </c>
    </row>
    <row r="735" spans="1:20" x14ac:dyDescent="0.35">
      <c r="A735" t="s">
        <v>2715</v>
      </c>
      <c r="B735" t="s">
        <v>2716</v>
      </c>
      <c r="C735" t="s">
        <v>2717</v>
      </c>
      <c r="D735">
        <v>45084</v>
      </c>
      <c r="E735" t="s">
        <v>34</v>
      </c>
      <c r="F735">
        <v>671.26</v>
      </c>
      <c r="G735">
        <v>16278.3</v>
      </c>
      <c r="H735" t="s">
        <v>49</v>
      </c>
      <c r="I735">
        <v>36</v>
      </c>
      <c r="J735" t="s">
        <v>25</v>
      </c>
      <c r="K735" t="s">
        <v>36</v>
      </c>
      <c r="L735" t="s">
        <v>2718</v>
      </c>
      <c r="M735" t="s">
        <v>52</v>
      </c>
      <c r="N735" t="s">
        <v>29</v>
      </c>
      <c r="O735">
        <v>1.3</v>
      </c>
      <c r="P735">
        <v>34482.75</v>
      </c>
      <c r="R735">
        <v>832</v>
      </c>
      <c r="S735">
        <v>7143.41</v>
      </c>
      <c r="T735" t="s">
        <v>63</v>
      </c>
    </row>
    <row r="736" spans="1:20" x14ac:dyDescent="0.35">
      <c r="A736" t="s">
        <v>2719</v>
      </c>
      <c r="B736" t="s">
        <v>2720</v>
      </c>
      <c r="C736" t="s">
        <v>2721</v>
      </c>
      <c r="D736">
        <v>44983</v>
      </c>
      <c r="E736" t="s">
        <v>56</v>
      </c>
      <c r="F736">
        <v>4499.22</v>
      </c>
      <c r="G736">
        <v>13238.84</v>
      </c>
      <c r="H736" t="s">
        <v>100</v>
      </c>
      <c r="I736">
        <v>62</v>
      </c>
      <c r="J736" t="s">
        <v>25</v>
      </c>
      <c r="K736" t="s">
        <v>26</v>
      </c>
      <c r="L736" t="s">
        <v>1753</v>
      </c>
      <c r="M736" t="s">
        <v>52</v>
      </c>
      <c r="N736" t="s">
        <v>62</v>
      </c>
      <c r="O736">
        <v>4.91</v>
      </c>
      <c r="P736">
        <v>27824.18</v>
      </c>
      <c r="Q736">
        <v>7</v>
      </c>
      <c r="R736">
        <v>330</v>
      </c>
      <c r="S736">
        <v>10119.26</v>
      </c>
      <c r="T736" t="s">
        <v>30</v>
      </c>
    </row>
    <row r="737" spans="1:20" x14ac:dyDescent="0.35">
      <c r="A737" t="s">
        <v>2722</v>
      </c>
      <c r="B737" t="s">
        <v>2723</v>
      </c>
      <c r="C737" t="s">
        <v>2724</v>
      </c>
      <c r="D737">
        <v>44700</v>
      </c>
      <c r="E737" t="s">
        <v>34</v>
      </c>
      <c r="F737">
        <v>2827.92</v>
      </c>
      <c r="G737">
        <v>33053.85</v>
      </c>
      <c r="H737" t="s">
        <v>125</v>
      </c>
      <c r="I737">
        <v>29</v>
      </c>
      <c r="J737" t="s">
        <v>25</v>
      </c>
      <c r="K737" t="s">
        <v>50</v>
      </c>
      <c r="L737" t="s">
        <v>1498</v>
      </c>
      <c r="M737" t="s">
        <v>52</v>
      </c>
      <c r="N737" t="s">
        <v>29</v>
      </c>
      <c r="O737">
        <v>4.37</v>
      </c>
      <c r="Q737">
        <v>3</v>
      </c>
      <c r="R737">
        <v>546</v>
      </c>
      <c r="S737">
        <v>14518.69</v>
      </c>
      <c r="T737" t="s">
        <v>30</v>
      </c>
    </row>
    <row r="738" spans="1:20" x14ac:dyDescent="0.35">
      <c r="A738" t="s">
        <v>2725</v>
      </c>
      <c r="B738" t="s">
        <v>2726</v>
      </c>
      <c r="C738" t="s">
        <v>2727</v>
      </c>
      <c r="D738">
        <v>45072</v>
      </c>
      <c r="E738" t="s">
        <v>34</v>
      </c>
      <c r="F738">
        <v>6258.19</v>
      </c>
      <c r="G738">
        <v>31342.71</v>
      </c>
      <c r="H738" t="s">
        <v>100</v>
      </c>
      <c r="I738">
        <v>37</v>
      </c>
      <c r="J738" t="s">
        <v>42</v>
      </c>
      <c r="K738" t="s">
        <v>26</v>
      </c>
      <c r="L738" t="s">
        <v>2728</v>
      </c>
      <c r="M738" t="s">
        <v>52</v>
      </c>
      <c r="N738" t="s">
        <v>44</v>
      </c>
      <c r="O738">
        <v>1.71</v>
      </c>
      <c r="P738">
        <v>13291.23</v>
      </c>
      <c r="Q738">
        <v>5</v>
      </c>
      <c r="R738">
        <v>710</v>
      </c>
      <c r="S738">
        <v>12809.95</v>
      </c>
      <c r="T738" t="s">
        <v>63</v>
      </c>
    </row>
    <row r="739" spans="1:20" x14ac:dyDescent="0.35">
      <c r="A739" t="s">
        <v>2729</v>
      </c>
      <c r="B739" t="s">
        <v>2730</v>
      </c>
      <c r="C739" t="s">
        <v>2731</v>
      </c>
      <c r="D739">
        <v>44818</v>
      </c>
      <c r="E739" t="s">
        <v>56</v>
      </c>
      <c r="F739">
        <v>9925.18</v>
      </c>
      <c r="G739">
        <v>17273.38</v>
      </c>
      <c r="H739" t="s">
        <v>49</v>
      </c>
      <c r="I739">
        <v>18</v>
      </c>
      <c r="J739" t="s">
        <v>25</v>
      </c>
      <c r="K739" t="s">
        <v>36</v>
      </c>
      <c r="L739" t="s">
        <v>344</v>
      </c>
      <c r="M739" t="s">
        <v>38</v>
      </c>
      <c r="N739" t="s">
        <v>29</v>
      </c>
      <c r="O739">
        <v>4.62</v>
      </c>
      <c r="P739">
        <v>9790.14</v>
      </c>
      <c r="R739">
        <v>326</v>
      </c>
      <c r="S739">
        <v>8026.18</v>
      </c>
      <c r="T739" t="s">
        <v>45</v>
      </c>
    </row>
    <row r="740" spans="1:20" x14ac:dyDescent="0.35">
      <c r="A740" t="s">
        <v>2732</v>
      </c>
      <c r="B740" t="s">
        <v>2050</v>
      </c>
      <c r="C740" t="s">
        <v>2733</v>
      </c>
      <c r="D740">
        <v>45071</v>
      </c>
      <c r="E740" t="s">
        <v>71</v>
      </c>
      <c r="F740">
        <v>3924.6</v>
      </c>
      <c r="G740">
        <v>46476.99</v>
      </c>
      <c r="H740" t="s">
        <v>49</v>
      </c>
      <c r="I740">
        <v>38</v>
      </c>
      <c r="J740" t="s">
        <v>25</v>
      </c>
      <c r="K740" t="s">
        <v>50</v>
      </c>
      <c r="L740" t="s">
        <v>634</v>
      </c>
      <c r="M740" t="s">
        <v>28</v>
      </c>
      <c r="N740" t="s">
        <v>29</v>
      </c>
      <c r="O740">
        <v>2.36</v>
      </c>
      <c r="Q740">
        <v>15</v>
      </c>
      <c r="R740">
        <v>372</v>
      </c>
      <c r="S740">
        <v>11587.36</v>
      </c>
      <c r="T740" t="s">
        <v>63</v>
      </c>
    </row>
    <row r="741" spans="1:20" x14ac:dyDescent="0.35">
      <c r="A741" t="s">
        <v>2734</v>
      </c>
      <c r="B741" t="s">
        <v>2735</v>
      </c>
      <c r="C741" t="s">
        <v>2736</v>
      </c>
      <c r="D741">
        <v>44567</v>
      </c>
      <c r="E741" t="s">
        <v>71</v>
      </c>
      <c r="F741">
        <v>5781.03</v>
      </c>
      <c r="G741">
        <v>42398.25</v>
      </c>
      <c r="H741" t="s">
        <v>24</v>
      </c>
      <c r="I741">
        <v>66</v>
      </c>
      <c r="J741" t="s">
        <v>25</v>
      </c>
      <c r="K741" t="s">
        <v>36</v>
      </c>
      <c r="L741" t="s">
        <v>109</v>
      </c>
      <c r="M741" t="s">
        <v>52</v>
      </c>
      <c r="N741" t="s">
        <v>29</v>
      </c>
      <c r="O741">
        <v>2.5099999999999998</v>
      </c>
      <c r="P741">
        <v>13984.19</v>
      </c>
      <c r="R741">
        <v>396</v>
      </c>
      <c r="S741">
        <v>3665.76</v>
      </c>
      <c r="T741" t="s">
        <v>30</v>
      </c>
    </row>
    <row r="742" spans="1:20" x14ac:dyDescent="0.35">
      <c r="A742" t="s">
        <v>2737</v>
      </c>
      <c r="B742" t="s">
        <v>2738</v>
      </c>
      <c r="C742" t="s">
        <v>2739</v>
      </c>
      <c r="D742">
        <v>44634</v>
      </c>
      <c r="E742" t="s">
        <v>23</v>
      </c>
      <c r="F742">
        <v>4214.4799999999996</v>
      </c>
      <c r="G742">
        <v>11975.14</v>
      </c>
      <c r="H742" t="s">
        <v>35</v>
      </c>
      <c r="I742">
        <v>62</v>
      </c>
      <c r="J742" t="s">
        <v>25</v>
      </c>
      <c r="K742" t="s">
        <v>36</v>
      </c>
      <c r="L742" t="s">
        <v>214</v>
      </c>
      <c r="M742" t="s">
        <v>28</v>
      </c>
      <c r="N742" t="s">
        <v>29</v>
      </c>
      <c r="O742">
        <v>4.63</v>
      </c>
      <c r="P742">
        <v>7694.36</v>
      </c>
      <c r="R742">
        <v>645</v>
      </c>
      <c r="S742">
        <v>8657.35</v>
      </c>
      <c r="T742" t="s">
        <v>45</v>
      </c>
    </row>
    <row r="743" spans="1:20" x14ac:dyDescent="0.35">
      <c r="A743" t="s">
        <v>2740</v>
      </c>
      <c r="B743" t="s">
        <v>2741</v>
      </c>
      <c r="C743" t="s">
        <v>2742</v>
      </c>
      <c r="D743">
        <v>45134</v>
      </c>
      <c r="E743" t="s">
        <v>71</v>
      </c>
      <c r="F743">
        <v>8487.99</v>
      </c>
      <c r="G743">
        <v>12717.98</v>
      </c>
      <c r="H743" t="s">
        <v>49</v>
      </c>
      <c r="I743">
        <v>18</v>
      </c>
      <c r="J743" t="s">
        <v>25</v>
      </c>
      <c r="K743" t="s">
        <v>26</v>
      </c>
      <c r="L743" t="s">
        <v>2743</v>
      </c>
      <c r="M743" t="s">
        <v>52</v>
      </c>
      <c r="N743" t="s">
        <v>29</v>
      </c>
      <c r="O743">
        <v>3.12</v>
      </c>
      <c r="Q743">
        <v>8</v>
      </c>
      <c r="R743">
        <v>775</v>
      </c>
      <c r="S743">
        <v>5627.78</v>
      </c>
      <c r="T743" t="s">
        <v>45</v>
      </c>
    </row>
    <row r="744" spans="1:20" x14ac:dyDescent="0.35">
      <c r="A744" t="s">
        <v>2744</v>
      </c>
      <c r="B744" t="s">
        <v>90</v>
      </c>
      <c r="C744" t="s">
        <v>2745</v>
      </c>
      <c r="D744">
        <v>44759</v>
      </c>
      <c r="E744" t="s">
        <v>23</v>
      </c>
      <c r="F744">
        <v>9032.14</v>
      </c>
      <c r="G744">
        <v>26102.720000000001</v>
      </c>
      <c r="H744" t="s">
        <v>100</v>
      </c>
      <c r="I744">
        <v>27</v>
      </c>
      <c r="J744" t="s">
        <v>42</v>
      </c>
      <c r="K744" t="s">
        <v>36</v>
      </c>
      <c r="L744" t="s">
        <v>1775</v>
      </c>
      <c r="M744" t="s">
        <v>28</v>
      </c>
      <c r="N744" t="s">
        <v>62</v>
      </c>
      <c r="O744">
        <v>1.55</v>
      </c>
      <c r="R744">
        <v>599</v>
      </c>
      <c r="S744">
        <v>4095.13</v>
      </c>
      <c r="T744" t="s">
        <v>45</v>
      </c>
    </row>
    <row r="745" spans="1:20" x14ac:dyDescent="0.35">
      <c r="A745" t="s">
        <v>2746</v>
      </c>
      <c r="B745" t="s">
        <v>2747</v>
      </c>
      <c r="C745" t="s">
        <v>2748</v>
      </c>
      <c r="D745">
        <v>44821</v>
      </c>
      <c r="E745" t="s">
        <v>71</v>
      </c>
      <c r="F745">
        <v>8785.82</v>
      </c>
      <c r="G745">
        <v>38905.03</v>
      </c>
      <c r="H745" t="s">
        <v>100</v>
      </c>
      <c r="I745">
        <v>64</v>
      </c>
      <c r="J745" t="s">
        <v>42</v>
      </c>
      <c r="K745" t="s">
        <v>50</v>
      </c>
      <c r="L745" t="s">
        <v>2446</v>
      </c>
      <c r="M745" t="s">
        <v>28</v>
      </c>
      <c r="N745" t="s">
        <v>29</v>
      </c>
      <c r="O745">
        <v>2.48</v>
      </c>
      <c r="Q745">
        <v>9</v>
      </c>
      <c r="R745">
        <v>598</v>
      </c>
      <c r="S745">
        <v>7541.65</v>
      </c>
      <c r="T745" t="s">
        <v>45</v>
      </c>
    </row>
    <row r="746" spans="1:20" x14ac:dyDescent="0.35">
      <c r="A746" t="s">
        <v>2749</v>
      </c>
      <c r="B746" t="s">
        <v>2549</v>
      </c>
      <c r="C746" t="s">
        <v>2750</v>
      </c>
      <c r="D746">
        <v>44964</v>
      </c>
      <c r="E746" t="s">
        <v>71</v>
      </c>
      <c r="F746">
        <v>9746.2900000000009</v>
      </c>
      <c r="G746">
        <v>3157.98</v>
      </c>
      <c r="H746" t="s">
        <v>35</v>
      </c>
      <c r="I746">
        <v>49</v>
      </c>
      <c r="J746" t="s">
        <v>25</v>
      </c>
      <c r="K746" t="s">
        <v>36</v>
      </c>
      <c r="L746" t="s">
        <v>2751</v>
      </c>
      <c r="M746" t="s">
        <v>52</v>
      </c>
      <c r="N746" t="s">
        <v>29</v>
      </c>
      <c r="O746">
        <v>3.89</v>
      </c>
      <c r="R746">
        <v>586</v>
      </c>
      <c r="S746">
        <v>3703.19</v>
      </c>
      <c r="T746" t="s">
        <v>30</v>
      </c>
    </row>
    <row r="747" spans="1:20" x14ac:dyDescent="0.35">
      <c r="A747" t="s">
        <v>2752</v>
      </c>
      <c r="B747" t="s">
        <v>2753</v>
      </c>
      <c r="C747" t="s">
        <v>2754</v>
      </c>
      <c r="D747">
        <v>45098</v>
      </c>
      <c r="E747" t="s">
        <v>34</v>
      </c>
      <c r="F747">
        <v>372.44</v>
      </c>
      <c r="G747">
        <v>34973.42</v>
      </c>
      <c r="H747" t="s">
        <v>35</v>
      </c>
      <c r="I747">
        <v>56</v>
      </c>
      <c r="J747" t="s">
        <v>25</v>
      </c>
      <c r="K747" t="s">
        <v>36</v>
      </c>
      <c r="L747" t="s">
        <v>601</v>
      </c>
      <c r="M747" t="s">
        <v>52</v>
      </c>
      <c r="N747" t="s">
        <v>44</v>
      </c>
      <c r="O747">
        <v>1.7</v>
      </c>
      <c r="R747">
        <v>748</v>
      </c>
      <c r="S747">
        <v>11086.81</v>
      </c>
      <c r="T747" t="s">
        <v>45</v>
      </c>
    </row>
    <row r="748" spans="1:20" x14ac:dyDescent="0.35">
      <c r="A748" t="s">
        <v>2755</v>
      </c>
      <c r="B748" t="s">
        <v>2756</v>
      </c>
      <c r="C748" t="s">
        <v>2757</v>
      </c>
      <c r="D748">
        <v>44819</v>
      </c>
      <c r="E748" t="s">
        <v>23</v>
      </c>
      <c r="F748">
        <v>8414.18</v>
      </c>
      <c r="G748">
        <v>32763.56</v>
      </c>
      <c r="H748" t="s">
        <v>24</v>
      </c>
      <c r="I748">
        <v>39</v>
      </c>
      <c r="J748" t="s">
        <v>42</v>
      </c>
      <c r="K748" t="s">
        <v>26</v>
      </c>
      <c r="L748" t="s">
        <v>80</v>
      </c>
      <c r="M748" t="s">
        <v>28</v>
      </c>
      <c r="N748" t="s">
        <v>29</v>
      </c>
      <c r="O748">
        <v>3.36</v>
      </c>
      <c r="Q748">
        <v>2</v>
      </c>
      <c r="R748">
        <v>511</v>
      </c>
      <c r="S748">
        <v>7931.12</v>
      </c>
      <c r="T748" t="s">
        <v>63</v>
      </c>
    </row>
    <row r="749" spans="1:20" x14ac:dyDescent="0.35">
      <c r="A749" t="s">
        <v>2758</v>
      </c>
      <c r="B749" t="s">
        <v>2759</v>
      </c>
      <c r="C749" t="s">
        <v>2760</v>
      </c>
      <c r="D749">
        <v>44725</v>
      </c>
      <c r="E749" t="s">
        <v>71</v>
      </c>
      <c r="F749">
        <v>7542.54</v>
      </c>
      <c r="G749">
        <v>12342.52</v>
      </c>
      <c r="H749" t="s">
        <v>125</v>
      </c>
      <c r="I749">
        <v>35</v>
      </c>
      <c r="J749" t="s">
        <v>25</v>
      </c>
      <c r="K749" t="s">
        <v>36</v>
      </c>
      <c r="L749" t="s">
        <v>2761</v>
      </c>
      <c r="M749" t="s">
        <v>28</v>
      </c>
      <c r="N749" t="s">
        <v>44</v>
      </c>
      <c r="O749">
        <v>3.78</v>
      </c>
      <c r="Q749">
        <v>20</v>
      </c>
      <c r="R749">
        <v>375</v>
      </c>
      <c r="S749">
        <v>8904.8799999999992</v>
      </c>
      <c r="T749" t="s">
        <v>63</v>
      </c>
    </row>
    <row r="750" spans="1:20" x14ac:dyDescent="0.35">
      <c r="A750" t="s">
        <v>2762</v>
      </c>
      <c r="B750" t="s">
        <v>2008</v>
      </c>
      <c r="C750" t="s">
        <v>2763</v>
      </c>
      <c r="D750">
        <v>44684</v>
      </c>
      <c r="E750" t="s">
        <v>23</v>
      </c>
      <c r="F750">
        <v>2364.0700000000002</v>
      </c>
      <c r="G750">
        <v>34386.300000000003</v>
      </c>
      <c r="H750" t="s">
        <v>100</v>
      </c>
      <c r="I750">
        <v>65</v>
      </c>
      <c r="J750" t="s">
        <v>42</v>
      </c>
      <c r="K750" t="s">
        <v>26</v>
      </c>
      <c r="L750" t="s">
        <v>2764</v>
      </c>
      <c r="M750" t="s">
        <v>28</v>
      </c>
      <c r="N750" t="s">
        <v>62</v>
      </c>
      <c r="O750">
        <v>2.38</v>
      </c>
      <c r="P750">
        <v>6729.15</v>
      </c>
      <c r="Q750">
        <v>5</v>
      </c>
      <c r="R750">
        <v>700</v>
      </c>
      <c r="S750">
        <v>3902.89</v>
      </c>
      <c r="T750" t="s">
        <v>63</v>
      </c>
    </row>
    <row r="751" spans="1:20" x14ac:dyDescent="0.35">
      <c r="A751" t="s">
        <v>2765</v>
      </c>
      <c r="B751" t="s">
        <v>1862</v>
      </c>
      <c r="C751" t="s">
        <v>2766</v>
      </c>
      <c r="D751">
        <v>45093</v>
      </c>
      <c r="E751" t="s">
        <v>34</v>
      </c>
      <c r="F751">
        <v>9567.57</v>
      </c>
      <c r="G751">
        <v>47068.98</v>
      </c>
      <c r="H751" t="s">
        <v>35</v>
      </c>
      <c r="I751">
        <v>63</v>
      </c>
      <c r="J751" t="s">
        <v>42</v>
      </c>
      <c r="K751" t="s">
        <v>26</v>
      </c>
      <c r="L751" t="s">
        <v>469</v>
      </c>
      <c r="M751" t="s">
        <v>38</v>
      </c>
      <c r="N751" t="s">
        <v>62</v>
      </c>
      <c r="O751">
        <v>3.78</v>
      </c>
      <c r="P751">
        <v>23076.080000000002</v>
      </c>
      <c r="Q751">
        <v>19</v>
      </c>
      <c r="R751">
        <v>333</v>
      </c>
      <c r="S751">
        <v>3817.03</v>
      </c>
      <c r="T751" t="s">
        <v>30</v>
      </c>
    </row>
    <row r="752" spans="1:20" x14ac:dyDescent="0.35">
      <c r="A752" t="s">
        <v>2767</v>
      </c>
      <c r="B752" t="s">
        <v>2768</v>
      </c>
      <c r="C752" t="s">
        <v>2769</v>
      </c>
      <c r="D752">
        <v>44764</v>
      </c>
      <c r="E752" t="s">
        <v>34</v>
      </c>
      <c r="F752">
        <v>1566.96</v>
      </c>
      <c r="G752">
        <v>3292.51</v>
      </c>
      <c r="H752" t="s">
        <v>100</v>
      </c>
      <c r="I752">
        <v>49</v>
      </c>
      <c r="J752" t="s">
        <v>25</v>
      </c>
      <c r="K752" t="s">
        <v>50</v>
      </c>
      <c r="L752" t="s">
        <v>2770</v>
      </c>
      <c r="M752" t="s">
        <v>52</v>
      </c>
      <c r="N752" t="s">
        <v>29</v>
      </c>
      <c r="O752">
        <v>4.54</v>
      </c>
      <c r="Q752">
        <v>13</v>
      </c>
      <c r="R752">
        <v>797</v>
      </c>
      <c r="S752">
        <v>9584.4</v>
      </c>
      <c r="T752" t="s">
        <v>45</v>
      </c>
    </row>
    <row r="753" spans="1:20" x14ac:dyDescent="0.35">
      <c r="A753" t="s">
        <v>2771</v>
      </c>
      <c r="B753" t="s">
        <v>2772</v>
      </c>
      <c r="C753" t="s">
        <v>2773</v>
      </c>
      <c r="D753">
        <v>45090</v>
      </c>
      <c r="E753" t="s">
        <v>23</v>
      </c>
      <c r="F753">
        <v>6827.54</v>
      </c>
      <c r="G753">
        <v>16662.95</v>
      </c>
      <c r="H753" t="s">
        <v>35</v>
      </c>
      <c r="I753">
        <v>44</v>
      </c>
      <c r="J753" t="s">
        <v>42</v>
      </c>
      <c r="K753" t="s">
        <v>50</v>
      </c>
      <c r="L753" t="s">
        <v>2774</v>
      </c>
      <c r="M753" t="s">
        <v>38</v>
      </c>
      <c r="N753" t="s">
        <v>62</v>
      </c>
      <c r="O753">
        <v>2.89</v>
      </c>
      <c r="P753">
        <v>28521.38</v>
      </c>
      <c r="Q753">
        <v>11</v>
      </c>
      <c r="R753">
        <v>815</v>
      </c>
      <c r="S753">
        <v>14805.13</v>
      </c>
      <c r="T753" t="s">
        <v>63</v>
      </c>
    </row>
    <row r="754" spans="1:20" x14ac:dyDescent="0.35">
      <c r="A754" t="s">
        <v>2775</v>
      </c>
      <c r="B754" t="s">
        <v>2776</v>
      </c>
      <c r="C754" t="s">
        <v>2777</v>
      </c>
      <c r="D754">
        <v>44908</v>
      </c>
      <c r="E754" t="s">
        <v>34</v>
      </c>
      <c r="F754">
        <v>2326.41</v>
      </c>
      <c r="G754">
        <v>22470.66</v>
      </c>
      <c r="H754" t="s">
        <v>49</v>
      </c>
      <c r="I754">
        <v>45</v>
      </c>
      <c r="J754" t="s">
        <v>25</v>
      </c>
      <c r="K754" t="s">
        <v>50</v>
      </c>
      <c r="L754" t="s">
        <v>218</v>
      </c>
      <c r="M754" t="s">
        <v>38</v>
      </c>
      <c r="N754" t="s">
        <v>29</v>
      </c>
      <c r="O754">
        <v>2.5299999999999998</v>
      </c>
      <c r="R754">
        <v>627</v>
      </c>
      <c r="S754">
        <v>3251.26</v>
      </c>
      <c r="T754" t="s">
        <v>63</v>
      </c>
    </row>
    <row r="755" spans="1:20" x14ac:dyDescent="0.35">
      <c r="A755" t="s">
        <v>2778</v>
      </c>
      <c r="B755" t="s">
        <v>2779</v>
      </c>
      <c r="C755" t="s">
        <v>2780</v>
      </c>
      <c r="D755">
        <v>45096</v>
      </c>
      <c r="E755" t="s">
        <v>56</v>
      </c>
      <c r="F755">
        <v>4370.67</v>
      </c>
      <c r="G755">
        <v>45063.76</v>
      </c>
      <c r="H755" t="s">
        <v>100</v>
      </c>
      <c r="I755">
        <v>35</v>
      </c>
      <c r="J755" t="s">
        <v>25</v>
      </c>
      <c r="K755" t="s">
        <v>50</v>
      </c>
      <c r="L755" t="s">
        <v>2781</v>
      </c>
      <c r="M755" t="s">
        <v>52</v>
      </c>
      <c r="N755" t="s">
        <v>62</v>
      </c>
      <c r="O755">
        <v>2</v>
      </c>
      <c r="P755">
        <v>9372.41</v>
      </c>
      <c r="R755">
        <v>397</v>
      </c>
      <c r="S755">
        <v>5714.51</v>
      </c>
      <c r="T755" t="s">
        <v>63</v>
      </c>
    </row>
    <row r="756" spans="1:20" x14ac:dyDescent="0.35">
      <c r="A756" t="s">
        <v>2782</v>
      </c>
      <c r="B756" t="s">
        <v>2783</v>
      </c>
      <c r="C756" t="s">
        <v>2784</v>
      </c>
      <c r="D756">
        <v>45152</v>
      </c>
      <c r="E756" t="s">
        <v>56</v>
      </c>
      <c r="F756">
        <v>7219.68</v>
      </c>
      <c r="G756">
        <v>48150.81</v>
      </c>
      <c r="H756" t="s">
        <v>49</v>
      </c>
      <c r="I756">
        <v>56</v>
      </c>
      <c r="J756" t="s">
        <v>42</v>
      </c>
      <c r="K756" t="s">
        <v>26</v>
      </c>
      <c r="L756" t="s">
        <v>856</v>
      </c>
      <c r="M756" t="s">
        <v>52</v>
      </c>
      <c r="N756" t="s">
        <v>29</v>
      </c>
      <c r="O756">
        <v>3.42</v>
      </c>
      <c r="R756">
        <v>665</v>
      </c>
      <c r="S756">
        <v>13302.97</v>
      </c>
      <c r="T756" t="s">
        <v>45</v>
      </c>
    </row>
    <row r="757" spans="1:20" x14ac:dyDescent="0.35">
      <c r="A757" t="s">
        <v>2785</v>
      </c>
      <c r="B757" t="s">
        <v>2786</v>
      </c>
      <c r="C757" t="s">
        <v>2787</v>
      </c>
      <c r="D757">
        <v>44657</v>
      </c>
      <c r="E757" t="s">
        <v>34</v>
      </c>
      <c r="F757">
        <v>5676.91</v>
      </c>
      <c r="G757">
        <v>22761.65</v>
      </c>
      <c r="H757" t="s">
        <v>100</v>
      </c>
      <c r="I757">
        <v>66</v>
      </c>
      <c r="J757" t="s">
        <v>42</v>
      </c>
      <c r="K757" t="s">
        <v>36</v>
      </c>
      <c r="L757" t="s">
        <v>1995</v>
      </c>
      <c r="M757" t="s">
        <v>38</v>
      </c>
      <c r="N757" t="s">
        <v>29</v>
      </c>
      <c r="O757">
        <v>4.5199999999999996</v>
      </c>
      <c r="P757">
        <v>35464.980000000003</v>
      </c>
      <c r="R757">
        <v>762</v>
      </c>
      <c r="S757">
        <v>2939.54</v>
      </c>
      <c r="T757" t="s">
        <v>63</v>
      </c>
    </row>
    <row r="758" spans="1:20" x14ac:dyDescent="0.35">
      <c r="A758" t="s">
        <v>2788</v>
      </c>
      <c r="B758" t="s">
        <v>2789</v>
      </c>
      <c r="C758" t="s">
        <v>2790</v>
      </c>
      <c r="D758">
        <v>45072</v>
      </c>
      <c r="E758" t="s">
        <v>56</v>
      </c>
      <c r="F758">
        <v>4332.2700000000004</v>
      </c>
      <c r="G758">
        <v>37751.39</v>
      </c>
      <c r="H758" t="s">
        <v>125</v>
      </c>
      <c r="I758">
        <v>46</v>
      </c>
      <c r="J758" t="s">
        <v>25</v>
      </c>
      <c r="K758" t="s">
        <v>50</v>
      </c>
      <c r="L758" t="s">
        <v>206</v>
      </c>
      <c r="M758" t="s">
        <v>52</v>
      </c>
      <c r="N758" t="s">
        <v>44</v>
      </c>
      <c r="O758">
        <v>2.2999999999999998</v>
      </c>
      <c r="Q758">
        <v>18</v>
      </c>
      <c r="R758">
        <v>327</v>
      </c>
      <c r="S758">
        <v>13386.51</v>
      </c>
      <c r="T758" t="s">
        <v>45</v>
      </c>
    </row>
    <row r="759" spans="1:20" x14ac:dyDescent="0.35">
      <c r="A759" t="s">
        <v>2791</v>
      </c>
      <c r="B759" t="s">
        <v>2792</v>
      </c>
      <c r="C759" t="s">
        <v>2793</v>
      </c>
      <c r="D759">
        <v>45031</v>
      </c>
      <c r="E759" t="s">
        <v>71</v>
      </c>
      <c r="F759">
        <v>3330.75</v>
      </c>
      <c r="G759">
        <v>27051.39</v>
      </c>
      <c r="H759" t="s">
        <v>24</v>
      </c>
      <c r="I759">
        <v>35</v>
      </c>
      <c r="J759" t="s">
        <v>42</v>
      </c>
      <c r="K759" t="s">
        <v>50</v>
      </c>
      <c r="L759" t="s">
        <v>2794</v>
      </c>
      <c r="M759" t="s">
        <v>28</v>
      </c>
      <c r="N759" t="s">
        <v>44</v>
      </c>
      <c r="O759">
        <v>2.58</v>
      </c>
      <c r="P759">
        <v>49059.65</v>
      </c>
      <c r="R759">
        <v>685</v>
      </c>
      <c r="S759">
        <v>8815.7199999999993</v>
      </c>
      <c r="T759" t="s">
        <v>45</v>
      </c>
    </row>
    <row r="760" spans="1:20" x14ac:dyDescent="0.35">
      <c r="A760" t="s">
        <v>2795</v>
      </c>
      <c r="B760" t="s">
        <v>2796</v>
      </c>
      <c r="C760" t="s">
        <v>2797</v>
      </c>
      <c r="D760">
        <v>44978</v>
      </c>
      <c r="E760" t="s">
        <v>23</v>
      </c>
      <c r="F760">
        <v>8412.6299999999992</v>
      </c>
      <c r="G760">
        <v>27351.360000000001</v>
      </c>
      <c r="H760" t="s">
        <v>49</v>
      </c>
      <c r="I760">
        <v>61</v>
      </c>
      <c r="J760" t="s">
        <v>25</v>
      </c>
      <c r="K760" t="s">
        <v>50</v>
      </c>
      <c r="L760" t="s">
        <v>2798</v>
      </c>
      <c r="M760" t="s">
        <v>28</v>
      </c>
      <c r="N760" t="s">
        <v>44</v>
      </c>
      <c r="O760">
        <v>2.63</v>
      </c>
      <c r="R760">
        <v>572</v>
      </c>
      <c r="S760">
        <v>7307.47</v>
      </c>
      <c r="T760" t="s">
        <v>45</v>
      </c>
    </row>
    <row r="761" spans="1:20" x14ac:dyDescent="0.35">
      <c r="A761" t="s">
        <v>2799</v>
      </c>
      <c r="B761" t="s">
        <v>2800</v>
      </c>
      <c r="C761" t="s">
        <v>2801</v>
      </c>
      <c r="D761">
        <v>44886</v>
      </c>
      <c r="E761" t="s">
        <v>71</v>
      </c>
      <c r="F761">
        <v>1523.76</v>
      </c>
      <c r="G761">
        <v>14626.88</v>
      </c>
      <c r="H761" t="s">
        <v>35</v>
      </c>
      <c r="I761">
        <v>25</v>
      </c>
      <c r="J761" t="s">
        <v>42</v>
      </c>
      <c r="K761" t="s">
        <v>36</v>
      </c>
      <c r="L761" t="s">
        <v>2802</v>
      </c>
      <c r="M761" t="s">
        <v>38</v>
      </c>
      <c r="N761" t="s">
        <v>44</v>
      </c>
      <c r="O761">
        <v>3.24</v>
      </c>
      <c r="P761">
        <v>27195.96</v>
      </c>
      <c r="Q761">
        <v>1</v>
      </c>
      <c r="R761">
        <v>426</v>
      </c>
      <c r="S761">
        <v>6025.85</v>
      </c>
      <c r="T761" t="s">
        <v>30</v>
      </c>
    </row>
    <row r="762" spans="1:20" x14ac:dyDescent="0.35">
      <c r="A762" t="s">
        <v>2803</v>
      </c>
      <c r="B762" t="s">
        <v>2804</v>
      </c>
      <c r="C762" t="s">
        <v>2805</v>
      </c>
      <c r="D762">
        <v>45122</v>
      </c>
      <c r="E762" t="s">
        <v>23</v>
      </c>
      <c r="F762">
        <v>4358.0200000000004</v>
      </c>
      <c r="G762">
        <v>11630.86</v>
      </c>
      <c r="H762" t="s">
        <v>125</v>
      </c>
      <c r="I762">
        <v>48</v>
      </c>
      <c r="J762" t="s">
        <v>42</v>
      </c>
      <c r="K762" t="s">
        <v>50</v>
      </c>
      <c r="L762" t="s">
        <v>864</v>
      </c>
      <c r="M762" t="s">
        <v>38</v>
      </c>
      <c r="N762" t="s">
        <v>29</v>
      </c>
      <c r="O762">
        <v>1.91</v>
      </c>
      <c r="P762">
        <v>43579.75</v>
      </c>
      <c r="R762">
        <v>501</v>
      </c>
      <c r="S762">
        <v>5862.52</v>
      </c>
      <c r="T762" t="s">
        <v>30</v>
      </c>
    </row>
    <row r="763" spans="1:20" x14ac:dyDescent="0.35">
      <c r="A763" t="s">
        <v>2806</v>
      </c>
      <c r="B763" t="s">
        <v>2807</v>
      </c>
      <c r="C763" t="s">
        <v>2808</v>
      </c>
      <c r="D763">
        <v>44852</v>
      </c>
      <c r="E763" t="s">
        <v>34</v>
      </c>
      <c r="F763">
        <v>9047.2000000000007</v>
      </c>
      <c r="G763">
        <v>15112.26</v>
      </c>
      <c r="H763" t="s">
        <v>100</v>
      </c>
      <c r="I763">
        <v>51</v>
      </c>
      <c r="J763" t="s">
        <v>25</v>
      </c>
      <c r="K763" t="s">
        <v>36</v>
      </c>
      <c r="L763" t="s">
        <v>1029</v>
      </c>
      <c r="M763" t="s">
        <v>52</v>
      </c>
      <c r="N763" t="s">
        <v>62</v>
      </c>
      <c r="O763">
        <v>4.29</v>
      </c>
      <c r="Q763">
        <v>9</v>
      </c>
      <c r="R763">
        <v>820</v>
      </c>
      <c r="S763">
        <v>5975.43</v>
      </c>
      <c r="T763" t="s">
        <v>45</v>
      </c>
    </row>
    <row r="764" spans="1:20" x14ac:dyDescent="0.35">
      <c r="A764" t="s">
        <v>2809</v>
      </c>
      <c r="B764" t="s">
        <v>2810</v>
      </c>
      <c r="C764" t="s">
        <v>2811</v>
      </c>
      <c r="D764">
        <v>44784</v>
      </c>
      <c r="E764" t="s">
        <v>71</v>
      </c>
      <c r="F764">
        <v>8473.91</v>
      </c>
      <c r="G764">
        <v>28260.07</v>
      </c>
      <c r="H764" t="s">
        <v>49</v>
      </c>
      <c r="I764">
        <v>24</v>
      </c>
      <c r="J764" t="s">
        <v>25</v>
      </c>
      <c r="K764" t="s">
        <v>26</v>
      </c>
      <c r="L764" t="s">
        <v>894</v>
      </c>
      <c r="M764" t="s">
        <v>52</v>
      </c>
      <c r="N764" t="s">
        <v>29</v>
      </c>
      <c r="O764">
        <v>2.1800000000000002</v>
      </c>
      <c r="P764">
        <v>25218.31</v>
      </c>
      <c r="Q764">
        <v>23</v>
      </c>
      <c r="R764">
        <v>586</v>
      </c>
      <c r="S764">
        <v>13502.44</v>
      </c>
      <c r="T764" t="s">
        <v>45</v>
      </c>
    </row>
    <row r="765" spans="1:20" x14ac:dyDescent="0.35">
      <c r="A765" t="s">
        <v>2812</v>
      </c>
      <c r="B765" t="s">
        <v>2813</v>
      </c>
      <c r="C765" t="s">
        <v>2814</v>
      </c>
      <c r="D765">
        <v>44562</v>
      </c>
      <c r="E765" t="s">
        <v>34</v>
      </c>
      <c r="F765">
        <v>4069.32</v>
      </c>
      <c r="G765">
        <v>2428.6</v>
      </c>
      <c r="H765" t="s">
        <v>100</v>
      </c>
      <c r="I765">
        <v>53</v>
      </c>
      <c r="J765" t="s">
        <v>25</v>
      </c>
      <c r="K765" t="s">
        <v>26</v>
      </c>
      <c r="L765" t="s">
        <v>860</v>
      </c>
      <c r="M765" t="s">
        <v>38</v>
      </c>
      <c r="N765" t="s">
        <v>44</v>
      </c>
      <c r="O765">
        <v>3.82</v>
      </c>
      <c r="P765">
        <v>17919.91</v>
      </c>
      <c r="Q765">
        <v>11</v>
      </c>
      <c r="R765">
        <v>749</v>
      </c>
      <c r="S765">
        <v>11409.34</v>
      </c>
      <c r="T765" t="s">
        <v>30</v>
      </c>
    </row>
    <row r="766" spans="1:20" x14ac:dyDescent="0.35">
      <c r="A766" t="s">
        <v>2815</v>
      </c>
      <c r="B766" t="s">
        <v>2816</v>
      </c>
      <c r="C766" t="s">
        <v>2817</v>
      </c>
      <c r="D766">
        <v>44929</v>
      </c>
      <c r="E766" t="s">
        <v>34</v>
      </c>
      <c r="F766">
        <v>7654.77</v>
      </c>
      <c r="G766">
        <v>45455.199999999997</v>
      </c>
      <c r="H766" t="s">
        <v>100</v>
      </c>
      <c r="I766">
        <v>35</v>
      </c>
      <c r="J766" t="s">
        <v>42</v>
      </c>
      <c r="K766" t="s">
        <v>26</v>
      </c>
      <c r="L766" t="s">
        <v>2818</v>
      </c>
      <c r="M766" t="s">
        <v>38</v>
      </c>
      <c r="N766" t="s">
        <v>44</v>
      </c>
      <c r="O766">
        <v>3.05</v>
      </c>
      <c r="P766">
        <v>9708.7000000000007</v>
      </c>
      <c r="R766">
        <v>387</v>
      </c>
      <c r="S766">
        <v>10706.4</v>
      </c>
      <c r="T766" t="s">
        <v>30</v>
      </c>
    </row>
    <row r="767" spans="1:20" x14ac:dyDescent="0.35">
      <c r="A767" t="s">
        <v>2819</v>
      </c>
      <c r="B767" t="s">
        <v>2820</v>
      </c>
      <c r="C767" t="s">
        <v>2821</v>
      </c>
      <c r="D767">
        <v>44819</v>
      </c>
      <c r="E767" t="s">
        <v>23</v>
      </c>
      <c r="F767">
        <v>8249.2900000000009</v>
      </c>
      <c r="G767">
        <v>8657.9</v>
      </c>
      <c r="H767" t="s">
        <v>100</v>
      </c>
      <c r="I767">
        <v>55</v>
      </c>
      <c r="J767" t="s">
        <v>25</v>
      </c>
      <c r="K767" t="s">
        <v>36</v>
      </c>
      <c r="L767" t="s">
        <v>1040</v>
      </c>
      <c r="M767" t="s">
        <v>28</v>
      </c>
      <c r="N767" t="s">
        <v>62</v>
      </c>
      <c r="O767">
        <v>3.34</v>
      </c>
      <c r="P767">
        <v>39357.589999999997</v>
      </c>
      <c r="Q767">
        <v>26</v>
      </c>
      <c r="R767">
        <v>617</v>
      </c>
      <c r="S767">
        <v>12383.74</v>
      </c>
      <c r="T767" t="s">
        <v>45</v>
      </c>
    </row>
    <row r="768" spans="1:20" x14ac:dyDescent="0.35">
      <c r="A768" t="s">
        <v>2822</v>
      </c>
      <c r="B768" t="s">
        <v>2823</v>
      </c>
      <c r="C768" t="s">
        <v>2824</v>
      </c>
      <c r="D768">
        <v>44953</v>
      </c>
      <c r="E768" t="s">
        <v>23</v>
      </c>
      <c r="F768">
        <v>8899.99</v>
      </c>
      <c r="G768">
        <v>11784.35</v>
      </c>
      <c r="H768" t="s">
        <v>24</v>
      </c>
      <c r="I768">
        <v>26</v>
      </c>
      <c r="J768" t="s">
        <v>25</v>
      </c>
      <c r="K768" t="s">
        <v>50</v>
      </c>
      <c r="L768" t="s">
        <v>2825</v>
      </c>
      <c r="M768" t="s">
        <v>28</v>
      </c>
      <c r="N768" t="s">
        <v>44</v>
      </c>
      <c r="O768">
        <v>1.72</v>
      </c>
      <c r="P768">
        <v>27985.64</v>
      </c>
      <c r="R768">
        <v>318</v>
      </c>
      <c r="S768">
        <v>5342.49</v>
      </c>
      <c r="T768" t="s">
        <v>30</v>
      </c>
    </row>
    <row r="769" spans="1:20" x14ac:dyDescent="0.35">
      <c r="A769" t="s">
        <v>2826</v>
      </c>
      <c r="B769" t="s">
        <v>2827</v>
      </c>
      <c r="C769" t="s">
        <v>2828</v>
      </c>
      <c r="D769">
        <v>44687</v>
      </c>
      <c r="E769" t="s">
        <v>23</v>
      </c>
      <c r="F769">
        <v>5490.61</v>
      </c>
      <c r="G769">
        <v>26395.53</v>
      </c>
      <c r="H769" t="s">
        <v>24</v>
      </c>
      <c r="I769">
        <v>26</v>
      </c>
      <c r="J769" t="s">
        <v>42</v>
      </c>
      <c r="K769" t="s">
        <v>50</v>
      </c>
      <c r="L769" t="s">
        <v>2829</v>
      </c>
      <c r="M769" t="s">
        <v>52</v>
      </c>
      <c r="N769" t="s">
        <v>29</v>
      </c>
      <c r="O769">
        <v>3.94</v>
      </c>
      <c r="R769">
        <v>406</v>
      </c>
      <c r="S769">
        <v>10034.56</v>
      </c>
      <c r="T769" t="s">
        <v>63</v>
      </c>
    </row>
    <row r="770" spans="1:20" x14ac:dyDescent="0.35">
      <c r="A770" t="s">
        <v>2830</v>
      </c>
      <c r="B770" t="s">
        <v>2831</v>
      </c>
      <c r="C770" t="s">
        <v>2832</v>
      </c>
      <c r="D770">
        <v>44864</v>
      </c>
      <c r="E770" t="s">
        <v>71</v>
      </c>
      <c r="F770">
        <v>2124.16</v>
      </c>
      <c r="G770">
        <v>35795.620000000003</v>
      </c>
      <c r="H770" t="s">
        <v>35</v>
      </c>
      <c r="I770">
        <v>63</v>
      </c>
      <c r="J770" t="s">
        <v>42</v>
      </c>
      <c r="K770" t="s">
        <v>50</v>
      </c>
      <c r="L770" t="s">
        <v>2833</v>
      </c>
      <c r="M770" t="s">
        <v>28</v>
      </c>
      <c r="N770" t="s">
        <v>29</v>
      </c>
      <c r="O770">
        <v>1.75</v>
      </c>
      <c r="R770">
        <v>757</v>
      </c>
      <c r="S770">
        <v>7980.86</v>
      </c>
      <c r="T770" t="s">
        <v>45</v>
      </c>
    </row>
    <row r="771" spans="1:20" x14ac:dyDescent="0.35">
      <c r="A771" t="s">
        <v>2834</v>
      </c>
      <c r="B771" t="s">
        <v>2835</v>
      </c>
      <c r="C771" t="s">
        <v>2836</v>
      </c>
      <c r="D771">
        <v>45055</v>
      </c>
      <c r="E771" t="s">
        <v>56</v>
      </c>
      <c r="F771">
        <v>2627.56</v>
      </c>
      <c r="G771">
        <v>5690.72</v>
      </c>
      <c r="H771" t="s">
        <v>49</v>
      </c>
      <c r="I771">
        <v>25</v>
      </c>
      <c r="J771" t="s">
        <v>25</v>
      </c>
      <c r="K771" t="s">
        <v>50</v>
      </c>
      <c r="L771" t="s">
        <v>2837</v>
      </c>
      <c r="M771" t="s">
        <v>52</v>
      </c>
      <c r="N771" t="s">
        <v>29</v>
      </c>
      <c r="O771">
        <v>1.45</v>
      </c>
      <c r="P771">
        <v>25715.18</v>
      </c>
      <c r="Q771">
        <v>8</v>
      </c>
      <c r="R771">
        <v>610</v>
      </c>
      <c r="S771">
        <v>12171.74</v>
      </c>
      <c r="T771" t="s">
        <v>45</v>
      </c>
    </row>
    <row r="772" spans="1:20" x14ac:dyDescent="0.35">
      <c r="A772" t="s">
        <v>2838</v>
      </c>
      <c r="B772" t="s">
        <v>2839</v>
      </c>
      <c r="C772" t="s">
        <v>2840</v>
      </c>
      <c r="D772">
        <v>45072</v>
      </c>
      <c r="E772" t="s">
        <v>23</v>
      </c>
      <c r="F772">
        <v>3027.38</v>
      </c>
      <c r="G772">
        <v>16567.04</v>
      </c>
      <c r="H772" t="s">
        <v>125</v>
      </c>
      <c r="I772">
        <v>68</v>
      </c>
      <c r="J772" t="s">
        <v>25</v>
      </c>
      <c r="K772" t="s">
        <v>50</v>
      </c>
      <c r="L772" t="s">
        <v>1848</v>
      </c>
      <c r="M772" t="s">
        <v>52</v>
      </c>
      <c r="N772" t="s">
        <v>29</v>
      </c>
      <c r="O772">
        <v>3.19</v>
      </c>
      <c r="Q772">
        <v>18</v>
      </c>
      <c r="R772">
        <v>711</v>
      </c>
      <c r="S772">
        <v>6020.33</v>
      </c>
      <c r="T772" t="s">
        <v>30</v>
      </c>
    </row>
    <row r="773" spans="1:20" x14ac:dyDescent="0.35">
      <c r="A773" t="s">
        <v>2841</v>
      </c>
      <c r="B773" t="s">
        <v>1363</v>
      </c>
      <c r="C773" t="s">
        <v>2842</v>
      </c>
      <c r="D773">
        <v>44600</v>
      </c>
      <c r="E773" t="s">
        <v>23</v>
      </c>
      <c r="F773">
        <v>5978.64</v>
      </c>
      <c r="G773">
        <v>48465.06</v>
      </c>
      <c r="H773" t="s">
        <v>125</v>
      </c>
      <c r="I773">
        <v>52</v>
      </c>
      <c r="J773" t="s">
        <v>25</v>
      </c>
      <c r="K773" t="s">
        <v>36</v>
      </c>
      <c r="L773" t="s">
        <v>2199</v>
      </c>
      <c r="M773" t="s">
        <v>52</v>
      </c>
      <c r="N773" t="s">
        <v>29</v>
      </c>
      <c r="O773">
        <v>3.84</v>
      </c>
      <c r="P773">
        <v>35281.300000000003</v>
      </c>
      <c r="Q773">
        <v>16</v>
      </c>
      <c r="R773">
        <v>797</v>
      </c>
      <c r="S773">
        <v>10361.32</v>
      </c>
      <c r="T773" t="s">
        <v>63</v>
      </c>
    </row>
    <row r="774" spans="1:20" x14ac:dyDescent="0.35">
      <c r="A774" t="s">
        <v>2843</v>
      </c>
      <c r="B774" t="s">
        <v>2844</v>
      </c>
      <c r="C774" t="s">
        <v>2845</v>
      </c>
      <c r="D774">
        <v>44730</v>
      </c>
      <c r="E774" t="s">
        <v>71</v>
      </c>
      <c r="F774">
        <v>424.82</v>
      </c>
      <c r="G774">
        <v>13854.81</v>
      </c>
      <c r="H774" t="s">
        <v>125</v>
      </c>
      <c r="I774">
        <v>35</v>
      </c>
      <c r="J774" t="s">
        <v>25</v>
      </c>
      <c r="K774" t="s">
        <v>26</v>
      </c>
      <c r="L774" t="s">
        <v>2846</v>
      </c>
      <c r="M774" t="s">
        <v>28</v>
      </c>
      <c r="N774" t="s">
        <v>62</v>
      </c>
      <c r="O774">
        <v>1.2</v>
      </c>
      <c r="R774">
        <v>543</v>
      </c>
      <c r="S774">
        <v>13468.76</v>
      </c>
      <c r="T774" t="s">
        <v>30</v>
      </c>
    </row>
    <row r="775" spans="1:20" x14ac:dyDescent="0.35">
      <c r="A775" t="s">
        <v>2847</v>
      </c>
      <c r="B775" t="s">
        <v>2321</v>
      </c>
      <c r="C775" t="s">
        <v>2848</v>
      </c>
      <c r="D775">
        <v>45030</v>
      </c>
      <c r="E775" t="s">
        <v>23</v>
      </c>
      <c r="F775">
        <v>6396.82</v>
      </c>
      <c r="G775">
        <v>16339.46</v>
      </c>
      <c r="H775" t="s">
        <v>100</v>
      </c>
      <c r="I775">
        <v>22</v>
      </c>
      <c r="J775" t="s">
        <v>42</v>
      </c>
      <c r="K775" t="s">
        <v>50</v>
      </c>
      <c r="L775" t="s">
        <v>739</v>
      </c>
      <c r="M775" t="s">
        <v>38</v>
      </c>
      <c r="N775" t="s">
        <v>29</v>
      </c>
      <c r="O775">
        <v>1.28</v>
      </c>
      <c r="P775">
        <v>41754.54</v>
      </c>
      <c r="R775">
        <v>679</v>
      </c>
      <c r="S775">
        <v>7227.96</v>
      </c>
      <c r="T775" t="s">
        <v>63</v>
      </c>
    </row>
    <row r="776" spans="1:20" x14ac:dyDescent="0.35">
      <c r="A776" t="s">
        <v>2849</v>
      </c>
      <c r="B776" t="s">
        <v>2850</v>
      </c>
      <c r="C776" t="s">
        <v>2851</v>
      </c>
      <c r="D776">
        <v>44576</v>
      </c>
      <c r="E776" t="s">
        <v>71</v>
      </c>
      <c r="F776">
        <v>3707.11</v>
      </c>
      <c r="G776">
        <v>41988.43</v>
      </c>
      <c r="H776" t="s">
        <v>24</v>
      </c>
      <c r="I776">
        <v>31</v>
      </c>
      <c r="J776" t="s">
        <v>42</v>
      </c>
      <c r="K776" t="s">
        <v>26</v>
      </c>
      <c r="L776" t="s">
        <v>2802</v>
      </c>
      <c r="M776" t="s">
        <v>38</v>
      </c>
      <c r="N776" t="s">
        <v>44</v>
      </c>
      <c r="O776">
        <v>4.21</v>
      </c>
      <c r="P776">
        <v>13832.92</v>
      </c>
      <c r="Q776">
        <v>12</v>
      </c>
      <c r="R776">
        <v>814</v>
      </c>
      <c r="S776">
        <v>2866.09</v>
      </c>
      <c r="T776" t="s">
        <v>63</v>
      </c>
    </row>
    <row r="777" spans="1:20" x14ac:dyDescent="0.35">
      <c r="A777" t="s">
        <v>2852</v>
      </c>
      <c r="B777" t="s">
        <v>2853</v>
      </c>
      <c r="C777" t="s">
        <v>2854</v>
      </c>
      <c r="D777">
        <v>45152</v>
      </c>
      <c r="E777" t="s">
        <v>34</v>
      </c>
      <c r="F777">
        <v>3022.89</v>
      </c>
      <c r="G777">
        <v>3460.51</v>
      </c>
      <c r="H777" t="s">
        <v>49</v>
      </c>
      <c r="I777">
        <v>45</v>
      </c>
      <c r="J777" t="s">
        <v>25</v>
      </c>
      <c r="K777" t="s">
        <v>36</v>
      </c>
      <c r="L777" t="s">
        <v>2855</v>
      </c>
      <c r="M777" t="s">
        <v>28</v>
      </c>
      <c r="N777" t="s">
        <v>44</v>
      </c>
      <c r="O777">
        <v>4.24</v>
      </c>
      <c r="P777">
        <v>14227.48</v>
      </c>
      <c r="R777">
        <v>506</v>
      </c>
      <c r="S777">
        <v>8708.66</v>
      </c>
      <c r="T777" t="s">
        <v>45</v>
      </c>
    </row>
    <row r="778" spans="1:20" x14ac:dyDescent="0.35">
      <c r="A778" t="s">
        <v>2856</v>
      </c>
      <c r="B778" t="s">
        <v>2857</v>
      </c>
      <c r="C778" t="s">
        <v>2858</v>
      </c>
      <c r="D778">
        <v>44569</v>
      </c>
      <c r="E778" t="s">
        <v>23</v>
      </c>
      <c r="F778">
        <v>8807.02</v>
      </c>
      <c r="G778">
        <v>23766.05</v>
      </c>
      <c r="H778" t="s">
        <v>100</v>
      </c>
      <c r="I778">
        <v>47</v>
      </c>
      <c r="J778" t="s">
        <v>25</v>
      </c>
      <c r="K778" t="s">
        <v>36</v>
      </c>
      <c r="L778" t="s">
        <v>2358</v>
      </c>
      <c r="M778" t="s">
        <v>38</v>
      </c>
      <c r="N778" t="s">
        <v>44</v>
      </c>
      <c r="O778">
        <v>1.98</v>
      </c>
      <c r="P778">
        <v>34059.18</v>
      </c>
      <c r="Q778">
        <v>6</v>
      </c>
      <c r="R778">
        <v>693</v>
      </c>
      <c r="S778">
        <v>6497.64</v>
      </c>
      <c r="T778" t="s">
        <v>63</v>
      </c>
    </row>
    <row r="779" spans="1:20" x14ac:dyDescent="0.35">
      <c r="A779" t="s">
        <v>2859</v>
      </c>
      <c r="B779" t="s">
        <v>2860</v>
      </c>
      <c r="C779" t="s">
        <v>2861</v>
      </c>
      <c r="D779">
        <v>44891</v>
      </c>
      <c r="E779" t="s">
        <v>23</v>
      </c>
      <c r="F779">
        <v>4654.0200000000004</v>
      </c>
      <c r="G779">
        <v>19601.22</v>
      </c>
      <c r="H779" t="s">
        <v>24</v>
      </c>
      <c r="I779">
        <v>21</v>
      </c>
      <c r="J779" t="s">
        <v>25</v>
      </c>
      <c r="K779" t="s">
        <v>50</v>
      </c>
      <c r="L779" t="s">
        <v>1937</v>
      </c>
      <c r="M779" t="s">
        <v>52</v>
      </c>
      <c r="N779" t="s">
        <v>44</v>
      </c>
      <c r="O779">
        <v>3.46</v>
      </c>
      <c r="Q779">
        <v>3</v>
      </c>
      <c r="R779">
        <v>320</v>
      </c>
      <c r="S779">
        <v>10738.93</v>
      </c>
      <c r="T779" t="s">
        <v>45</v>
      </c>
    </row>
    <row r="780" spans="1:20" x14ac:dyDescent="0.35">
      <c r="A780" t="s">
        <v>2862</v>
      </c>
      <c r="B780" t="s">
        <v>2863</v>
      </c>
      <c r="C780" t="s">
        <v>2864</v>
      </c>
      <c r="D780">
        <v>44913</v>
      </c>
      <c r="E780" t="s">
        <v>34</v>
      </c>
      <c r="F780">
        <v>1041.03</v>
      </c>
      <c r="G780">
        <v>16512.75</v>
      </c>
      <c r="H780" t="s">
        <v>24</v>
      </c>
      <c r="I780">
        <v>56</v>
      </c>
      <c r="J780" t="s">
        <v>42</v>
      </c>
      <c r="K780" t="s">
        <v>36</v>
      </c>
      <c r="L780" t="s">
        <v>2865</v>
      </c>
      <c r="M780" t="s">
        <v>38</v>
      </c>
      <c r="N780" t="s">
        <v>62</v>
      </c>
      <c r="O780">
        <v>2.77</v>
      </c>
      <c r="R780">
        <v>826</v>
      </c>
      <c r="S780">
        <v>14363.43</v>
      </c>
      <c r="T780" t="s">
        <v>63</v>
      </c>
    </row>
    <row r="781" spans="1:20" x14ac:dyDescent="0.35">
      <c r="A781" t="s">
        <v>2866</v>
      </c>
      <c r="B781" t="s">
        <v>2867</v>
      </c>
      <c r="C781" t="s">
        <v>2868</v>
      </c>
      <c r="D781">
        <v>44836</v>
      </c>
      <c r="E781" t="s">
        <v>34</v>
      </c>
      <c r="F781">
        <v>8284.7900000000009</v>
      </c>
      <c r="G781">
        <v>14999.28</v>
      </c>
      <c r="H781" t="s">
        <v>49</v>
      </c>
      <c r="I781">
        <v>37</v>
      </c>
      <c r="J781" t="s">
        <v>25</v>
      </c>
      <c r="K781" t="s">
        <v>26</v>
      </c>
      <c r="L781" t="s">
        <v>959</v>
      </c>
      <c r="M781" t="s">
        <v>28</v>
      </c>
      <c r="N781" t="s">
        <v>44</v>
      </c>
      <c r="O781">
        <v>3.53</v>
      </c>
      <c r="R781">
        <v>642</v>
      </c>
      <c r="S781">
        <v>8312.91</v>
      </c>
      <c r="T781" t="s">
        <v>45</v>
      </c>
    </row>
    <row r="782" spans="1:20" x14ac:dyDescent="0.35">
      <c r="A782" t="s">
        <v>2869</v>
      </c>
      <c r="B782" t="s">
        <v>2870</v>
      </c>
      <c r="C782" t="s">
        <v>2871</v>
      </c>
      <c r="D782">
        <v>44592</v>
      </c>
      <c r="E782" t="s">
        <v>34</v>
      </c>
      <c r="F782">
        <v>571.65</v>
      </c>
      <c r="G782">
        <v>5477.33</v>
      </c>
      <c r="H782" t="s">
        <v>49</v>
      </c>
      <c r="I782">
        <v>42</v>
      </c>
      <c r="J782" t="s">
        <v>25</v>
      </c>
      <c r="K782" t="s">
        <v>50</v>
      </c>
      <c r="L782" t="s">
        <v>2105</v>
      </c>
      <c r="M782" t="s">
        <v>38</v>
      </c>
      <c r="N782" t="s">
        <v>62</v>
      </c>
      <c r="O782">
        <v>4.45</v>
      </c>
      <c r="P782">
        <v>49969.85</v>
      </c>
      <c r="Q782">
        <v>2</v>
      </c>
      <c r="R782">
        <v>501</v>
      </c>
      <c r="S782">
        <v>8060.47</v>
      </c>
      <c r="T782" t="s">
        <v>63</v>
      </c>
    </row>
    <row r="783" spans="1:20" x14ac:dyDescent="0.35">
      <c r="A783" t="s">
        <v>2872</v>
      </c>
      <c r="B783" t="s">
        <v>2873</v>
      </c>
      <c r="C783" t="s">
        <v>2874</v>
      </c>
      <c r="D783">
        <v>44845</v>
      </c>
      <c r="E783" t="s">
        <v>23</v>
      </c>
      <c r="F783">
        <v>7294.82</v>
      </c>
      <c r="G783">
        <v>16426.47</v>
      </c>
      <c r="H783" t="s">
        <v>49</v>
      </c>
      <c r="I783">
        <v>45</v>
      </c>
      <c r="J783" t="s">
        <v>42</v>
      </c>
      <c r="K783" t="s">
        <v>50</v>
      </c>
      <c r="L783" t="s">
        <v>2585</v>
      </c>
      <c r="M783" t="s">
        <v>52</v>
      </c>
      <c r="N783" t="s">
        <v>44</v>
      </c>
      <c r="O783">
        <v>1.32</v>
      </c>
      <c r="R783">
        <v>419</v>
      </c>
      <c r="S783">
        <v>10509.6</v>
      </c>
      <c r="T783" t="s">
        <v>30</v>
      </c>
    </row>
    <row r="784" spans="1:20" x14ac:dyDescent="0.35">
      <c r="A784" t="s">
        <v>2875</v>
      </c>
      <c r="B784" t="s">
        <v>2876</v>
      </c>
      <c r="C784" t="s">
        <v>2877</v>
      </c>
      <c r="D784">
        <v>44645</v>
      </c>
      <c r="E784" t="s">
        <v>56</v>
      </c>
      <c r="F784">
        <v>7761.67</v>
      </c>
      <c r="G784">
        <v>3109.57</v>
      </c>
      <c r="H784" t="s">
        <v>100</v>
      </c>
      <c r="I784">
        <v>29</v>
      </c>
      <c r="J784" t="s">
        <v>42</v>
      </c>
      <c r="K784" t="s">
        <v>26</v>
      </c>
      <c r="L784" t="s">
        <v>2878</v>
      </c>
      <c r="M784" t="s">
        <v>52</v>
      </c>
      <c r="N784" t="s">
        <v>62</v>
      </c>
      <c r="O784">
        <v>4.1100000000000003</v>
      </c>
      <c r="Q784">
        <v>22</v>
      </c>
      <c r="R784">
        <v>688</v>
      </c>
      <c r="S784">
        <v>3345.47</v>
      </c>
      <c r="T784" t="s">
        <v>63</v>
      </c>
    </row>
    <row r="785" spans="1:20" x14ac:dyDescent="0.35">
      <c r="A785" t="s">
        <v>2879</v>
      </c>
      <c r="B785" t="s">
        <v>2880</v>
      </c>
      <c r="C785" t="s">
        <v>2881</v>
      </c>
      <c r="D785">
        <v>44772</v>
      </c>
      <c r="E785" t="s">
        <v>56</v>
      </c>
      <c r="F785">
        <v>3590.77</v>
      </c>
      <c r="G785">
        <v>39267.230000000003</v>
      </c>
      <c r="H785" t="s">
        <v>35</v>
      </c>
      <c r="I785">
        <v>19</v>
      </c>
      <c r="J785" t="s">
        <v>25</v>
      </c>
      <c r="K785" t="s">
        <v>50</v>
      </c>
      <c r="L785" t="s">
        <v>27</v>
      </c>
      <c r="M785" t="s">
        <v>28</v>
      </c>
      <c r="N785" t="s">
        <v>62</v>
      </c>
      <c r="O785">
        <v>2.97</v>
      </c>
      <c r="P785">
        <v>38281.39</v>
      </c>
      <c r="Q785">
        <v>3</v>
      </c>
      <c r="R785">
        <v>836</v>
      </c>
      <c r="S785">
        <v>5295.58</v>
      </c>
      <c r="T785" t="s">
        <v>30</v>
      </c>
    </row>
    <row r="786" spans="1:20" x14ac:dyDescent="0.35">
      <c r="A786" t="s">
        <v>2882</v>
      </c>
      <c r="B786" t="s">
        <v>2883</v>
      </c>
      <c r="C786" t="s">
        <v>2884</v>
      </c>
      <c r="D786">
        <v>44954</v>
      </c>
      <c r="E786" t="s">
        <v>56</v>
      </c>
      <c r="F786">
        <v>8265.4</v>
      </c>
      <c r="G786">
        <v>20513.16</v>
      </c>
      <c r="H786" t="s">
        <v>49</v>
      </c>
      <c r="I786">
        <v>60</v>
      </c>
      <c r="J786" t="s">
        <v>25</v>
      </c>
      <c r="K786" t="s">
        <v>50</v>
      </c>
      <c r="L786" t="s">
        <v>2885</v>
      </c>
      <c r="M786" t="s">
        <v>28</v>
      </c>
      <c r="N786" t="s">
        <v>62</v>
      </c>
      <c r="O786">
        <v>3.26</v>
      </c>
      <c r="P786">
        <v>16142.85</v>
      </c>
      <c r="R786">
        <v>533</v>
      </c>
      <c r="S786">
        <v>13946.73</v>
      </c>
      <c r="T786" t="s">
        <v>63</v>
      </c>
    </row>
    <row r="787" spans="1:20" x14ac:dyDescent="0.35">
      <c r="A787" t="s">
        <v>2886</v>
      </c>
      <c r="B787" t="s">
        <v>2887</v>
      </c>
      <c r="C787" t="s">
        <v>2888</v>
      </c>
      <c r="D787">
        <v>44890</v>
      </c>
      <c r="E787" t="s">
        <v>23</v>
      </c>
      <c r="F787">
        <v>5205.03</v>
      </c>
      <c r="G787">
        <v>22751.29</v>
      </c>
      <c r="H787" t="s">
        <v>35</v>
      </c>
      <c r="I787">
        <v>31</v>
      </c>
      <c r="J787" t="s">
        <v>42</v>
      </c>
      <c r="K787" t="s">
        <v>26</v>
      </c>
      <c r="L787" t="s">
        <v>2889</v>
      </c>
      <c r="M787" t="s">
        <v>28</v>
      </c>
      <c r="N787" t="s">
        <v>44</v>
      </c>
      <c r="O787">
        <v>3.62</v>
      </c>
      <c r="P787">
        <v>42509.279999999999</v>
      </c>
      <c r="Q787">
        <v>1</v>
      </c>
      <c r="R787">
        <v>619</v>
      </c>
      <c r="S787">
        <v>10709.25</v>
      </c>
      <c r="T787" t="s">
        <v>63</v>
      </c>
    </row>
    <row r="788" spans="1:20" x14ac:dyDescent="0.35">
      <c r="A788" t="s">
        <v>2890</v>
      </c>
      <c r="B788" t="s">
        <v>2891</v>
      </c>
      <c r="C788" t="s">
        <v>2892</v>
      </c>
      <c r="D788">
        <v>44739</v>
      </c>
      <c r="E788" t="s">
        <v>34</v>
      </c>
      <c r="F788">
        <v>4686.6099999999997</v>
      </c>
      <c r="G788">
        <v>44786.13</v>
      </c>
      <c r="H788" t="s">
        <v>100</v>
      </c>
      <c r="I788">
        <v>39</v>
      </c>
      <c r="J788" t="s">
        <v>25</v>
      </c>
      <c r="K788" t="s">
        <v>50</v>
      </c>
      <c r="L788" t="s">
        <v>2893</v>
      </c>
      <c r="M788" t="s">
        <v>52</v>
      </c>
      <c r="N788" t="s">
        <v>62</v>
      </c>
      <c r="O788">
        <v>4.6900000000000004</v>
      </c>
      <c r="R788">
        <v>479</v>
      </c>
      <c r="S788">
        <v>2174.77</v>
      </c>
      <c r="T788" t="s">
        <v>45</v>
      </c>
    </row>
    <row r="789" spans="1:20" x14ac:dyDescent="0.35">
      <c r="A789" t="s">
        <v>2894</v>
      </c>
      <c r="B789" t="s">
        <v>2895</v>
      </c>
      <c r="C789" t="s">
        <v>2896</v>
      </c>
      <c r="D789">
        <v>45085</v>
      </c>
      <c r="E789" t="s">
        <v>23</v>
      </c>
      <c r="F789">
        <v>549.49</v>
      </c>
      <c r="G789">
        <v>33244.69</v>
      </c>
      <c r="H789" t="s">
        <v>35</v>
      </c>
      <c r="I789">
        <v>48</v>
      </c>
      <c r="J789" t="s">
        <v>25</v>
      </c>
      <c r="K789" t="s">
        <v>50</v>
      </c>
      <c r="L789" t="s">
        <v>355</v>
      </c>
      <c r="M789" t="s">
        <v>38</v>
      </c>
      <c r="N789" t="s">
        <v>29</v>
      </c>
      <c r="O789">
        <v>1.23</v>
      </c>
      <c r="Q789">
        <v>1</v>
      </c>
      <c r="R789">
        <v>667</v>
      </c>
      <c r="S789">
        <v>4660.13</v>
      </c>
      <c r="T789" t="s">
        <v>63</v>
      </c>
    </row>
    <row r="790" spans="1:20" x14ac:dyDescent="0.35">
      <c r="A790" t="s">
        <v>2897</v>
      </c>
      <c r="B790" t="s">
        <v>2898</v>
      </c>
      <c r="C790" t="s">
        <v>2899</v>
      </c>
      <c r="D790">
        <v>45046</v>
      </c>
      <c r="E790" t="s">
        <v>34</v>
      </c>
      <c r="F790">
        <v>2971.29</v>
      </c>
      <c r="G790">
        <v>1394.9</v>
      </c>
      <c r="H790" t="s">
        <v>125</v>
      </c>
      <c r="I790">
        <v>40</v>
      </c>
      <c r="J790" t="s">
        <v>42</v>
      </c>
      <c r="K790" t="s">
        <v>26</v>
      </c>
      <c r="L790" t="s">
        <v>2900</v>
      </c>
      <c r="M790" t="s">
        <v>38</v>
      </c>
      <c r="N790" t="s">
        <v>29</v>
      </c>
      <c r="O790">
        <v>1.1200000000000001</v>
      </c>
      <c r="P790">
        <v>8664.25</v>
      </c>
      <c r="R790">
        <v>375</v>
      </c>
      <c r="S790">
        <v>10876.88</v>
      </c>
      <c r="T790" t="s">
        <v>63</v>
      </c>
    </row>
    <row r="791" spans="1:20" x14ac:dyDescent="0.35">
      <c r="A791" t="s">
        <v>2901</v>
      </c>
      <c r="B791" t="s">
        <v>2902</v>
      </c>
      <c r="C791" t="s">
        <v>2903</v>
      </c>
      <c r="D791">
        <v>44591</v>
      </c>
      <c r="E791" t="s">
        <v>23</v>
      </c>
      <c r="F791">
        <v>9317</v>
      </c>
      <c r="G791">
        <v>47215.57</v>
      </c>
      <c r="H791" t="s">
        <v>35</v>
      </c>
      <c r="I791">
        <v>65</v>
      </c>
      <c r="J791" t="s">
        <v>42</v>
      </c>
      <c r="K791" t="s">
        <v>36</v>
      </c>
      <c r="L791" t="s">
        <v>1213</v>
      </c>
      <c r="M791" t="s">
        <v>28</v>
      </c>
      <c r="N791" t="s">
        <v>44</v>
      </c>
      <c r="O791">
        <v>1.71</v>
      </c>
      <c r="R791">
        <v>795</v>
      </c>
      <c r="S791">
        <v>11937.19</v>
      </c>
      <c r="T791" t="s">
        <v>63</v>
      </c>
    </row>
    <row r="792" spans="1:20" x14ac:dyDescent="0.35">
      <c r="A792" t="s">
        <v>2904</v>
      </c>
      <c r="B792" t="s">
        <v>2905</v>
      </c>
      <c r="C792" t="s">
        <v>2906</v>
      </c>
      <c r="D792">
        <v>44827</v>
      </c>
      <c r="E792" t="s">
        <v>23</v>
      </c>
      <c r="F792">
        <v>3979.06</v>
      </c>
      <c r="G792">
        <v>12620.08</v>
      </c>
      <c r="H792" t="s">
        <v>49</v>
      </c>
      <c r="I792">
        <v>37</v>
      </c>
      <c r="J792" t="s">
        <v>42</v>
      </c>
      <c r="K792" t="s">
        <v>26</v>
      </c>
      <c r="L792" t="s">
        <v>2907</v>
      </c>
      <c r="M792" t="s">
        <v>38</v>
      </c>
      <c r="N792" t="s">
        <v>29</v>
      </c>
      <c r="O792">
        <v>4.95</v>
      </c>
      <c r="P792">
        <v>30012.82</v>
      </c>
      <c r="Q792">
        <v>5</v>
      </c>
      <c r="R792">
        <v>821</v>
      </c>
      <c r="S792">
        <v>12918.17</v>
      </c>
      <c r="T792" t="s">
        <v>30</v>
      </c>
    </row>
    <row r="793" spans="1:20" x14ac:dyDescent="0.35">
      <c r="A793" t="s">
        <v>2908</v>
      </c>
      <c r="B793" t="s">
        <v>2909</v>
      </c>
      <c r="C793" t="s">
        <v>2910</v>
      </c>
      <c r="D793">
        <v>44966</v>
      </c>
      <c r="E793" t="s">
        <v>34</v>
      </c>
      <c r="F793">
        <v>5512.34</v>
      </c>
      <c r="G793">
        <v>6273.1</v>
      </c>
      <c r="H793" t="s">
        <v>100</v>
      </c>
      <c r="I793">
        <v>55</v>
      </c>
      <c r="J793" t="s">
        <v>25</v>
      </c>
      <c r="K793" t="s">
        <v>50</v>
      </c>
      <c r="L793" t="s">
        <v>1771</v>
      </c>
      <c r="M793" t="s">
        <v>38</v>
      </c>
      <c r="N793" t="s">
        <v>29</v>
      </c>
      <c r="O793">
        <v>3.86</v>
      </c>
      <c r="R793">
        <v>500</v>
      </c>
      <c r="S793">
        <v>5798.3</v>
      </c>
      <c r="T793" t="s">
        <v>45</v>
      </c>
    </row>
    <row r="794" spans="1:20" x14ac:dyDescent="0.35">
      <c r="A794" t="s">
        <v>2911</v>
      </c>
      <c r="B794" t="s">
        <v>2912</v>
      </c>
      <c r="C794" t="s">
        <v>2913</v>
      </c>
      <c r="D794">
        <v>44854</v>
      </c>
      <c r="E794" t="s">
        <v>56</v>
      </c>
      <c r="F794">
        <v>5367.01</v>
      </c>
      <c r="G794">
        <v>38638.28</v>
      </c>
      <c r="H794" t="s">
        <v>49</v>
      </c>
      <c r="I794">
        <v>21</v>
      </c>
      <c r="J794" t="s">
        <v>42</v>
      </c>
      <c r="K794" t="s">
        <v>26</v>
      </c>
      <c r="L794" t="s">
        <v>2199</v>
      </c>
      <c r="M794" t="s">
        <v>28</v>
      </c>
      <c r="N794" t="s">
        <v>29</v>
      </c>
      <c r="O794">
        <v>3.46</v>
      </c>
      <c r="P794">
        <v>14476.06</v>
      </c>
      <c r="R794">
        <v>645</v>
      </c>
      <c r="S794">
        <v>14103.37</v>
      </c>
      <c r="T794" t="s">
        <v>45</v>
      </c>
    </row>
    <row r="795" spans="1:20" x14ac:dyDescent="0.35">
      <c r="A795" t="s">
        <v>2914</v>
      </c>
      <c r="B795" t="s">
        <v>2915</v>
      </c>
      <c r="C795" t="s">
        <v>2916</v>
      </c>
      <c r="D795">
        <v>44936</v>
      </c>
      <c r="E795" t="s">
        <v>34</v>
      </c>
      <c r="F795">
        <v>5945.27</v>
      </c>
      <c r="G795">
        <v>25523.39</v>
      </c>
      <c r="H795" t="s">
        <v>125</v>
      </c>
      <c r="I795">
        <v>32</v>
      </c>
      <c r="J795" t="s">
        <v>42</v>
      </c>
      <c r="K795" t="s">
        <v>50</v>
      </c>
      <c r="L795" t="s">
        <v>2917</v>
      </c>
      <c r="M795" t="s">
        <v>28</v>
      </c>
      <c r="N795" t="s">
        <v>44</v>
      </c>
      <c r="O795">
        <v>1.19</v>
      </c>
      <c r="Q795">
        <v>16</v>
      </c>
      <c r="R795">
        <v>782</v>
      </c>
      <c r="S795">
        <v>9188.31</v>
      </c>
      <c r="T795" t="s">
        <v>63</v>
      </c>
    </row>
    <row r="796" spans="1:20" x14ac:dyDescent="0.35">
      <c r="A796" t="s">
        <v>2918</v>
      </c>
      <c r="B796" t="s">
        <v>2919</v>
      </c>
      <c r="C796" t="s">
        <v>2920</v>
      </c>
      <c r="D796">
        <v>44833</v>
      </c>
      <c r="E796" t="s">
        <v>71</v>
      </c>
      <c r="F796">
        <v>707.18</v>
      </c>
      <c r="G796">
        <v>22254.76</v>
      </c>
      <c r="H796" t="s">
        <v>49</v>
      </c>
      <c r="I796">
        <v>41</v>
      </c>
      <c r="J796" t="s">
        <v>25</v>
      </c>
      <c r="K796" t="s">
        <v>50</v>
      </c>
      <c r="L796" t="s">
        <v>2921</v>
      </c>
      <c r="M796" t="s">
        <v>52</v>
      </c>
      <c r="N796" t="s">
        <v>44</v>
      </c>
      <c r="O796">
        <v>4.5199999999999996</v>
      </c>
      <c r="R796">
        <v>518</v>
      </c>
      <c r="S796">
        <v>11055.01</v>
      </c>
      <c r="T796" t="s">
        <v>63</v>
      </c>
    </row>
    <row r="797" spans="1:20" x14ac:dyDescent="0.35">
      <c r="A797" t="s">
        <v>2922</v>
      </c>
      <c r="B797" t="s">
        <v>2923</v>
      </c>
      <c r="C797" t="s">
        <v>2924</v>
      </c>
      <c r="D797">
        <v>44872</v>
      </c>
      <c r="E797" t="s">
        <v>71</v>
      </c>
      <c r="F797">
        <v>3685.54</v>
      </c>
      <c r="G797">
        <v>13225.65</v>
      </c>
      <c r="H797" t="s">
        <v>49</v>
      </c>
      <c r="I797">
        <v>42</v>
      </c>
      <c r="J797" t="s">
        <v>25</v>
      </c>
      <c r="K797" t="s">
        <v>26</v>
      </c>
      <c r="L797" t="s">
        <v>1487</v>
      </c>
      <c r="M797" t="s">
        <v>52</v>
      </c>
      <c r="N797" t="s">
        <v>29</v>
      </c>
      <c r="O797">
        <v>4.25</v>
      </c>
      <c r="Q797">
        <v>12</v>
      </c>
      <c r="R797">
        <v>359</v>
      </c>
      <c r="S797">
        <v>9757.61</v>
      </c>
      <c r="T797" t="s">
        <v>30</v>
      </c>
    </row>
    <row r="798" spans="1:20" x14ac:dyDescent="0.35">
      <c r="A798" t="s">
        <v>2925</v>
      </c>
      <c r="B798" t="s">
        <v>2926</v>
      </c>
      <c r="C798" t="s">
        <v>2927</v>
      </c>
      <c r="D798">
        <v>44943</v>
      </c>
      <c r="E798" t="s">
        <v>34</v>
      </c>
      <c r="F798">
        <v>7258.97</v>
      </c>
      <c r="G798">
        <v>27826.1</v>
      </c>
      <c r="H798" t="s">
        <v>49</v>
      </c>
      <c r="I798">
        <v>18</v>
      </c>
      <c r="J798" t="s">
        <v>42</v>
      </c>
      <c r="K798" t="s">
        <v>50</v>
      </c>
      <c r="L798" t="s">
        <v>2013</v>
      </c>
      <c r="M798" t="s">
        <v>52</v>
      </c>
      <c r="N798" t="s">
        <v>44</v>
      </c>
      <c r="O798">
        <v>3.66</v>
      </c>
      <c r="P798">
        <v>15550.2</v>
      </c>
      <c r="R798">
        <v>849</v>
      </c>
      <c r="S798">
        <v>3595.62</v>
      </c>
      <c r="T798" t="s">
        <v>63</v>
      </c>
    </row>
    <row r="799" spans="1:20" x14ac:dyDescent="0.35">
      <c r="A799" t="s">
        <v>2928</v>
      </c>
      <c r="B799" t="s">
        <v>2078</v>
      </c>
      <c r="C799" t="s">
        <v>2929</v>
      </c>
      <c r="D799">
        <v>44735</v>
      </c>
      <c r="E799" t="s">
        <v>23</v>
      </c>
      <c r="F799">
        <v>2085.5500000000002</v>
      </c>
      <c r="G799">
        <v>14444.85</v>
      </c>
      <c r="H799" t="s">
        <v>24</v>
      </c>
      <c r="I799">
        <v>24</v>
      </c>
      <c r="J799" t="s">
        <v>42</v>
      </c>
      <c r="K799" t="s">
        <v>36</v>
      </c>
      <c r="L799" t="s">
        <v>434</v>
      </c>
      <c r="M799" t="s">
        <v>52</v>
      </c>
      <c r="N799" t="s">
        <v>62</v>
      </c>
      <c r="O799">
        <v>2.36</v>
      </c>
      <c r="P799">
        <v>37922.36</v>
      </c>
      <c r="Q799">
        <v>3</v>
      </c>
      <c r="R799">
        <v>520</v>
      </c>
      <c r="S799">
        <v>14520.49</v>
      </c>
      <c r="T799" t="s">
        <v>45</v>
      </c>
    </row>
    <row r="800" spans="1:20" x14ac:dyDescent="0.35">
      <c r="A800" t="s">
        <v>2930</v>
      </c>
      <c r="B800" t="s">
        <v>2931</v>
      </c>
      <c r="C800" t="s">
        <v>2932</v>
      </c>
      <c r="D800">
        <v>44710</v>
      </c>
      <c r="E800" t="s">
        <v>71</v>
      </c>
      <c r="F800">
        <v>2115.4299999999998</v>
      </c>
      <c r="G800">
        <v>45177.57</v>
      </c>
      <c r="H800" t="s">
        <v>125</v>
      </c>
      <c r="I800">
        <v>48</v>
      </c>
      <c r="J800" t="s">
        <v>25</v>
      </c>
      <c r="K800" t="s">
        <v>50</v>
      </c>
      <c r="L800" t="s">
        <v>2933</v>
      </c>
      <c r="M800" t="s">
        <v>38</v>
      </c>
      <c r="N800" t="s">
        <v>29</v>
      </c>
      <c r="O800">
        <v>1.28</v>
      </c>
      <c r="P800">
        <v>16560.400000000001</v>
      </c>
      <c r="Q800">
        <v>23</v>
      </c>
      <c r="R800">
        <v>801</v>
      </c>
      <c r="S800">
        <v>3597.38</v>
      </c>
      <c r="T800" t="s">
        <v>45</v>
      </c>
    </row>
    <row r="801" spans="1:20" x14ac:dyDescent="0.35">
      <c r="A801" t="s">
        <v>2934</v>
      </c>
      <c r="B801" t="s">
        <v>2935</v>
      </c>
      <c r="C801" t="s">
        <v>2936</v>
      </c>
      <c r="D801">
        <v>45018</v>
      </c>
      <c r="E801" t="s">
        <v>71</v>
      </c>
      <c r="F801">
        <v>199.9</v>
      </c>
      <c r="G801">
        <v>11545.02</v>
      </c>
      <c r="H801" t="s">
        <v>49</v>
      </c>
      <c r="I801">
        <v>29</v>
      </c>
      <c r="J801" t="s">
        <v>25</v>
      </c>
      <c r="K801" t="s">
        <v>26</v>
      </c>
      <c r="L801" t="s">
        <v>682</v>
      </c>
      <c r="M801" t="s">
        <v>38</v>
      </c>
      <c r="N801" t="s">
        <v>44</v>
      </c>
      <c r="O801">
        <v>3.32</v>
      </c>
      <c r="Q801">
        <v>2</v>
      </c>
      <c r="R801">
        <v>432</v>
      </c>
      <c r="S801">
        <v>5313.47</v>
      </c>
      <c r="T801" t="s">
        <v>30</v>
      </c>
    </row>
    <row r="802" spans="1:20" x14ac:dyDescent="0.35">
      <c r="A802" t="s">
        <v>2937</v>
      </c>
      <c r="B802" t="s">
        <v>2938</v>
      </c>
      <c r="C802" t="s">
        <v>2939</v>
      </c>
      <c r="D802">
        <v>44767</v>
      </c>
      <c r="E802" t="s">
        <v>23</v>
      </c>
      <c r="F802">
        <v>4431.07</v>
      </c>
      <c r="G802">
        <v>44333.4</v>
      </c>
      <c r="H802" t="s">
        <v>49</v>
      </c>
      <c r="I802">
        <v>59</v>
      </c>
      <c r="J802" t="s">
        <v>42</v>
      </c>
      <c r="K802" t="s">
        <v>36</v>
      </c>
      <c r="L802" t="s">
        <v>2940</v>
      </c>
      <c r="M802" t="s">
        <v>52</v>
      </c>
      <c r="N802" t="s">
        <v>44</v>
      </c>
      <c r="O802">
        <v>3.88</v>
      </c>
      <c r="P802">
        <v>36080.06</v>
      </c>
      <c r="Q802">
        <v>7</v>
      </c>
      <c r="R802">
        <v>352</v>
      </c>
      <c r="S802">
        <v>12577.16</v>
      </c>
      <c r="T802" t="s">
        <v>30</v>
      </c>
    </row>
    <row r="803" spans="1:20" x14ac:dyDescent="0.35">
      <c r="A803" t="s">
        <v>2941</v>
      </c>
      <c r="B803" t="s">
        <v>2942</v>
      </c>
      <c r="C803" t="s">
        <v>2943</v>
      </c>
      <c r="D803">
        <v>44877</v>
      </c>
      <c r="E803" t="s">
        <v>23</v>
      </c>
      <c r="F803">
        <v>8839.07</v>
      </c>
      <c r="G803">
        <v>28410.87</v>
      </c>
      <c r="H803" t="s">
        <v>49</v>
      </c>
      <c r="I803">
        <v>22</v>
      </c>
      <c r="J803" t="s">
        <v>42</v>
      </c>
      <c r="K803" t="s">
        <v>36</v>
      </c>
      <c r="L803" t="s">
        <v>1189</v>
      </c>
      <c r="M803" t="s">
        <v>52</v>
      </c>
      <c r="N803" t="s">
        <v>29</v>
      </c>
      <c r="O803">
        <v>1.38</v>
      </c>
      <c r="R803">
        <v>749</v>
      </c>
      <c r="S803">
        <v>10041.76</v>
      </c>
      <c r="T803" t="s">
        <v>45</v>
      </c>
    </row>
    <row r="804" spans="1:20" x14ac:dyDescent="0.35">
      <c r="A804" t="s">
        <v>2944</v>
      </c>
      <c r="B804" t="s">
        <v>2945</v>
      </c>
      <c r="C804" t="s">
        <v>2946</v>
      </c>
      <c r="D804">
        <v>44604</v>
      </c>
      <c r="E804" t="s">
        <v>56</v>
      </c>
      <c r="F804">
        <v>613.82000000000005</v>
      </c>
      <c r="G804">
        <v>41595.919999999998</v>
      </c>
      <c r="H804" t="s">
        <v>100</v>
      </c>
      <c r="I804">
        <v>61</v>
      </c>
      <c r="J804" t="s">
        <v>25</v>
      </c>
      <c r="K804" t="s">
        <v>50</v>
      </c>
      <c r="L804" t="s">
        <v>194</v>
      </c>
      <c r="M804" t="s">
        <v>28</v>
      </c>
      <c r="N804" t="s">
        <v>44</v>
      </c>
      <c r="O804">
        <v>3.54</v>
      </c>
      <c r="P804">
        <v>26669.279999999999</v>
      </c>
      <c r="Q804">
        <v>21</v>
      </c>
      <c r="R804">
        <v>361</v>
      </c>
      <c r="S804">
        <v>12895.94</v>
      </c>
      <c r="T804" t="s">
        <v>30</v>
      </c>
    </row>
    <row r="805" spans="1:20" x14ac:dyDescent="0.35">
      <c r="A805" t="s">
        <v>2947</v>
      </c>
      <c r="B805" t="s">
        <v>2350</v>
      </c>
      <c r="C805" t="s">
        <v>2948</v>
      </c>
      <c r="D805">
        <v>44690</v>
      </c>
      <c r="E805" t="s">
        <v>23</v>
      </c>
      <c r="F805">
        <v>1992.08</v>
      </c>
      <c r="G805">
        <v>35929.449999999997</v>
      </c>
      <c r="H805" t="s">
        <v>24</v>
      </c>
      <c r="I805">
        <v>67</v>
      </c>
      <c r="J805" t="s">
        <v>42</v>
      </c>
      <c r="K805" t="s">
        <v>26</v>
      </c>
      <c r="L805" t="s">
        <v>2949</v>
      </c>
      <c r="M805" t="s">
        <v>38</v>
      </c>
      <c r="N805" t="s">
        <v>29</v>
      </c>
      <c r="O805">
        <v>2.15</v>
      </c>
      <c r="P805">
        <v>28912.63</v>
      </c>
      <c r="R805">
        <v>322</v>
      </c>
      <c r="S805">
        <v>8704.57</v>
      </c>
      <c r="T805" t="s">
        <v>63</v>
      </c>
    </row>
    <row r="806" spans="1:20" x14ac:dyDescent="0.35">
      <c r="A806" t="s">
        <v>2950</v>
      </c>
      <c r="B806" t="s">
        <v>2951</v>
      </c>
      <c r="C806" t="s">
        <v>2952</v>
      </c>
      <c r="D806">
        <v>45107</v>
      </c>
      <c r="E806" t="s">
        <v>34</v>
      </c>
      <c r="F806">
        <v>3169.84</v>
      </c>
      <c r="G806">
        <v>35138.06</v>
      </c>
      <c r="H806" t="s">
        <v>100</v>
      </c>
      <c r="I806">
        <v>59</v>
      </c>
      <c r="J806" t="s">
        <v>25</v>
      </c>
      <c r="K806" t="s">
        <v>50</v>
      </c>
      <c r="L806" t="s">
        <v>2953</v>
      </c>
      <c r="M806" t="s">
        <v>38</v>
      </c>
      <c r="N806" t="s">
        <v>44</v>
      </c>
      <c r="O806">
        <v>4.0599999999999996</v>
      </c>
      <c r="Q806">
        <v>11</v>
      </c>
      <c r="R806">
        <v>343</v>
      </c>
      <c r="S806">
        <v>6900.91</v>
      </c>
      <c r="T806" t="s">
        <v>63</v>
      </c>
    </row>
    <row r="807" spans="1:20" x14ac:dyDescent="0.35">
      <c r="A807" t="s">
        <v>2954</v>
      </c>
      <c r="B807" t="s">
        <v>2955</v>
      </c>
      <c r="C807" t="s">
        <v>2956</v>
      </c>
      <c r="D807">
        <v>44896</v>
      </c>
      <c r="E807" t="s">
        <v>34</v>
      </c>
      <c r="F807">
        <v>7344.07</v>
      </c>
      <c r="G807">
        <v>16892.939999999999</v>
      </c>
      <c r="H807" t="s">
        <v>24</v>
      </c>
      <c r="I807">
        <v>55</v>
      </c>
      <c r="J807" t="s">
        <v>42</v>
      </c>
      <c r="K807" t="s">
        <v>50</v>
      </c>
      <c r="L807" t="s">
        <v>2957</v>
      </c>
      <c r="M807" t="s">
        <v>52</v>
      </c>
      <c r="N807" t="s">
        <v>62</v>
      </c>
      <c r="O807">
        <v>3.16</v>
      </c>
      <c r="R807">
        <v>346</v>
      </c>
      <c r="S807">
        <v>13983.99</v>
      </c>
      <c r="T807" t="s">
        <v>30</v>
      </c>
    </row>
    <row r="808" spans="1:20" x14ac:dyDescent="0.35">
      <c r="A808" t="s">
        <v>2958</v>
      </c>
      <c r="B808" t="s">
        <v>2959</v>
      </c>
      <c r="C808" t="s">
        <v>2960</v>
      </c>
      <c r="D808">
        <v>45121</v>
      </c>
      <c r="E808" t="s">
        <v>56</v>
      </c>
      <c r="F808">
        <v>6442.29</v>
      </c>
      <c r="G808">
        <v>12460.95</v>
      </c>
      <c r="H808" t="s">
        <v>49</v>
      </c>
      <c r="I808">
        <v>29</v>
      </c>
      <c r="J808" t="s">
        <v>25</v>
      </c>
      <c r="K808" t="s">
        <v>26</v>
      </c>
      <c r="L808" t="s">
        <v>2961</v>
      </c>
      <c r="M808" t="s">
        <v>38</v>
      </c>
      <c r="N808" t="s">
        <v>29</v>
      </c>
      <c r="O808">
        <v>1.52</v>
      </c>
      <c r="P808">
        <v>10939.23</v>
      </c>
      <c r="Q808">
        <v>14</v>
      </c>
      <c r="R808">
        <v>323</v>
      </c>
      <c r="S808">
        <v>2471.2800000000002</v>
      </c>
      <c r="T808" t="s">
        <v>45</v>
      </c>
    </row>
    <row r="809" spans="1:20" x14ac:dyDescent="0.35">
      <c r="A809" t="s">
        <v>2962</v>
      </c>
      <c r="B809" t="s">
        <v>2963</v>
      </c>
      <c r="C809" t="s">
        <v>2964</v>
      </c>
      <c r="D809">
        <v>44896</v>
      </c>
      <c r="E809" t="s">
        <v>71</v>
      </c>
      <c r="F809">
        <v>4217.84</v>
      </c>
      <c r="G809">
        <v>11333.43</v>
      </c>
      <c r="H809" t="s">
        <v>125</v>
      </c>
      <c r="I809">
        <v>56</v>
      </c>
      <c r="J809" t="s">
        <v>25</v>
      </c>
      <c r="K809" t="s">
        <v>26</v>
      </c>
      <c r="L809" t="s">
        <v>1254</v>
      </c>
      <c r="M809" t="s">
        <v>28</v>
      </c>
      <c r="N809" t="s">
        <v>62</v>
      </c>
      <c r="O809">
        <v>3.11</v>
      </c>
      <c r="P809">
        <v>48012.39</v>
      </c>
      <c r="R809">
        <v>388</v>
      </c>
      <c r="S809">
        <v>13129.69</v>
      </c>
      <c r="T809" t="s">
        <v>30</v>
      </c>
    </row>
    <row r="810" spans="1:20" x14ac:dyDescent="0.35">
      <c r="A810" t="s">
        <v>2965</v>
      </c>
      <c r="B810" t="s">
        <v>2966</v>
      </c>
      <c r="C810" t="s">
        <v>2967</v>
      </c>
      <c r="D810">
        <v>44910</v>
      </c>
      <c r="E810" t="s">
        <v>71</v>
      </c>
      <c r="F810">
        <v>7614.78</v>
      </c>
      <c r="G810">
        <v>43002.39</v>
      </c>
      <c r="H810" t="s">
        <v>35</v>
      </c>
      <c r="I810">
        <v>35</v>
      </c>
      <c r="J810" t="s">
        <v>42</v>
      </c>
      <c r="K810" t="s">
        <v>50</v>
      </c>
      <c r="L810" t="s">
        <v>355</v>
      </c>
      <c r="M810" t="s">
        <v>28</v>
      </c>
      <c r="N810" t="s">
        <v>29</v>
      </c>
      <c r="O810">
        <v>2.58</v>
      </c>
      <c r="R810">
        <v>473</v>
      </c>
      <c r="S810">
        <v>5000.63</v>
      </c>
      <c r="T810" t="s">
        <v>45</v>
      </c>
    </row>
    <row r="811" spans="1:20" x14ac:dyDescent="0.35">
      <c r="A811" t="s">
        <v>2968</v>
      </c>
      <c r="B811" t="s">
        <v>2969</v>
      </c>
      <c r="C811" t="s">
        <v>2970</v>
      </c>
      <c r="D811">
        <v>44819</v>
      </c>
      <c r="E811" t="s">
        <v>23</v>
      </c>
      <c r="F811">
        <v>6135.35</v>
      </c>
      <c r="G811">
        <v>41200.910000000003</v>
      </c>
      <c r="H811" t="s">
        <v>35</v>
      </c>
      <c r="I811">
        <v>19</v>
      </c>
      <c r="J811" t="s">
        <v>42</v>
      </c>
      <c r="K811" t="s">
        <v>36</v>
      </c>
      <c r="L811" t="s">
        <v>2971</v>
      </c>
      <c r="M811" t="s">
        <v>38</v>
      </c>
      <c r="N811" t="s">
        <v>44</v>
      </c>
      <c r="O811">
        <v>1.72</v>
      </c>
      <c r="Q811">
        <v>11</v>
      </c>
      <c r="R811">
        <v>418</v>
      </c>
      <c r="S811">
        <v>13033.57</v>
      </c>
      <c r="T811" t="s">
        <v>30</v>
      </c>
    </row>
    <row r="812" spans="1:20" x14ac:dyDescent="0.35">
      <c r="A812" t="s">
        <v>2972</v>
      </c>
      <c r="B812" t="s">
        <v>2973</v>
      </c>
      <c r="C812" t="s">
        <v>2974</v>
      </c>
      <c r="D812">
        <v>45105</v>
      </c>
      <c r="E812" t="s">
        <v>34</v>
      </c>
      <c r="F812">
        <v>8970.7999999999993</v>
      </c>
      <c r="G812">
        <v>22588.1</v>
      </c>
      <c r="H812" t="s">
        <v>49</v>
      </c>
      <c r="I812">
        <v>27</v>
      </c>
      <c r="J812" t="s">
        <v>25</v>
      </c>
      <c r="K812" t="s">
        <v>50</v>
      </c>
      <c r="L812" t="s">
        <v>2975</v>
      </c>
      <c r="M812" t="s">
        <v>52</v>
      </c>
      <c r="N812" t="s">
        <v>62</v>
      </c>
      <c r="O812">
        <v>4.37</v>
      </c>
      <c r="P812">
        <v>29218.75</v>
      </c>
      <c r="Q812">
        <v>4</v>
      </c>
      <c r="R812">
        <v>477</v>
      </c>
      <c r="S812">
        <v>3809.56</v>
      </c>
      <c r="T812" t="s">
        <v>30</v>
      </c>
    </row>
    <row r="813" spans="1:20" x14ac:dyDescent="0.35">
      <c r="A813" t="s">
        <v>2976</v>
      </c>
      <c r="B813" t="s">
        <v>2244</v>
      </c>
      <c r="C813" t="s">
        <v>2977</v>
      </c>
      <c r="D813">
        <v>44755</v>
      </c>
      <c r="E813" t="s">
        <v>71</v>
      </c>
      <c r="F813">
        <v>8198.4599999999991</v>
      </c>
      <c r="G813">
        <v>7487.83</v>
      </c>
      <c r="H813" t="s">
        <v>100</v>
      </c>
      <c r="I813">
        <v>32</v>
      </c>
      <c r="J813" t="s">
        <v>42</v>
      </c>
      <c r="K813" t="s">
        <v>36</v>
      </c>
      <c r="L813" t="s">
        <v>57</v>
      </c>
      <c r="M813" t="s">
        <v>38</v>
      </c>
      <c r="N813" t="s">
        <v>44</v>
      </c>
      <c r="O813">
        <v>1.04</v>
      </c>
      <c r="Q813">
        <v>17</v>
      </c>
      <c r="R813">
        <v>641</v>
      </c>
      <c r="S813">
        <v>9542.85</v>
      </c>
      <c r="T813" t="s">
        <v>30</v>
      </c>
    </row>
    <row r="814" spans="1:20" x14ac:dyDescent="0.35">
      <c r="A814" t="s">
        <v>2978</v>
      </c>
      <c r="B814" t="s">
        <v>2979</v>
      </c>
      <c r="C814" t="s">
        <v>2980</v>
      </c>
      <c r="D814">
        <v>45148</v>
      </c>
      <c r="E814" t="s">
        <v>56</v>
      </c>
      <c r="F814">
        <v>2602.85</v>
      </c>
      <c r="G814">
        <v>19730.36</v>
      </c>
      <c r="H814" t="s">
        <v>125</v>
      </c>
      <c r="I814">
        <v>47</v>
      </c>
      <c r="J814" t="s">
        <v>42</v>
      </c>
      <c r="K814" t="s">
        <v>50</v>
      </c>
      <c r="L814" t="s">
        <v>2039</v>
      </c>
      <c r="M814" t="s">
        <v>28</v>
      </c>
      <c r="N814" t="s">
        <v>29</v>
      </c>
      <c r="O814">
        <v>2.25</v>
      </c>
      <c r="P814">
        <v>27264.080000000002</v>
      </c>
      <c r="R814">
        <v>358</v>
      </c>
      <c r="S814">
        <v>13545.4</v>
      </c>
      <c r="T814" t="s">
        <v>63</v>
      </c>
    </row>
    <row r="815" spans="1:20" x14ac:dyDescent="0.35">
      <c r="A815" t="s">
        <v>2981</v>
      </c>
      <c r="B815" t="s">
        <v>2982</v>
      </c>
      <c r="C815" t="s">
        <v>2983</v>
      </c>
      <c r="D815">
        <v>44900</v>
      </c>
      <c r="E815" t="s">
        <v>56</v>
      </c>
      <c r="F815">
        <v>2787.24</v>
      </c>
      <c r="G815">
        <v>31347.83</v>
      </c>
      <c r="H815" t="s">
        <v>24</v>
      </c>
      <c r="I815">
        <v>61</v>
      </c>
      <c r="J815" t="s">
        <v>42</v>
      </c>
      <c r="K815" t="s">
        <v>26</v>
      </c>
      <c r="L815" t="s">
        <v>2984</v>
      </c>
      <c r="M815" t="s">
        <v>52</v>
      </c>
      <c r="N815" t="s">
        <v>29</v>
      </c>
      <c r="O815">
        <v>1.05</v>
      </c>
      <c r="P815">
        <v>18498.830000000002</v>
      </c>
      <c r="R815">
        <v>737</v>
      </c>
      <c r="S815">
        <v>8156.02</v>
      </c>
      <c r="T815" t="s">
        <v>63</v>
      </c>
    </row>
    <row r="816" spans="1:20" x14ac:dyDescent="0.35">
      <c r="A816" t="s">
        <v>2985</v>
      </c>
      <c r="B816" t="s">
        <v>2986</v>
      </c>
      <c r="C816" t="s">
        <v>2987</v>
      </c>
      <c r="D816">
        <v>44813</v>
      </c>
      <c r="E816" t="s">
        <v>34</v>
      </c>
      <c r="F816">
        <v>1341.03</v>
      </c>
      <c r="G816">
        <v>23265.75</v>
      </c>
      <c r="H816" t="s">
        <v>49</v>
      </c>
      <c r="I816">
        <v>34</v>
      </c>
      <c r="J816" t="s">
        <v>25</v>
      </c>
      <c r="K816" t="s">
        <v>36</v>
      </c>
      <c r="L816" t="s">
        <v>709</v>
      </c>
      <c r="M816" t="s">
        <v>38</v>
      </c>
      <c r="N816" t="s">
        <v>29</v>
      </c>
      <c r="O816">
        <v>1.38</v>
      </c>
      <c r="P816">
        <v>12216.84</v>
      </c>
      <c r="R816">
        <v>727</v>
      </c>
      <c r="S816">
        <v>11705.37</v>
      </c>
      <c r="T816" t="s">
        <v>45</v>
      </c>
    </row>
    <row r="817" spans="1:20" x14ac:dyDescent="0.35">
      <c r="A817" t="s">
        <v>2988</v>
      </c>
      <c r="B817" t="s">
        <v>212</v>
      </c>
      <c r="C817" t="s">
        <v>2989</v>
      </c>
      <c r="D817">
        <v>44803</v>
      </c>
      <c r="E817" t="s">
        <v>56</v>
      </c>
      <c r="F817">
        <v>3435.95</v>
      </c>
      <c r="G817">
        <v>39229.269999999997</v>
      </c>
      <c r="H817" t="s">
        <v>125</v>
      </c>
      <c r="I817">
        <v>21</v>
      </c>
      <c r="J817" t="s">
        <v>42</v>
      </c>
      <c r="K817" t="s">
        <v>26</v>
      </c>
      <c r="L817" t="s">
        <v>1121</v>
      </c>
      <c r="M817" t="s">
        <v>52</v>
      </c>
      <c r="N817" t="s">
        <v>29</v>
      </c>
      <c r="O817">
        <v>2.19</v>
      </c>
      <c r="R817">
        <v>725</v>
      </c>
      <c r="S817">
        <v>12460.73</v>
      </c>
      <c r="T817" t="s">
        <v>30</v>
      </c>
    </row>
    <row r="818" spans="1:20" x14ac:dyDescent="0.35">
      <c r="A818" t="s">
        <v>2990</v>
      </c>
      <c r="B818" t="s">
        <v>2991</v>
      </c>
      <c r="C818" t="s">
        <v>2992</v>
      </c>
      <c r="D818">
        <v>44591</v>
      </c>
      <c r="E818" t="s">
        <v>56</v>
      </c>
      <c r="F818">
        <v>9995.48</v>
      </c>
      <c r="G818">
        <v>49883.519999999997</v>
      </c>
      <c r="H818" t="s">
        <v>125</v>
      </c>
      <c r="I818">
        <v>24</v>
      </c>
      <c r="J818" t="s">
        <v>42</v>
      </c>
      <c r="K818" t="s">
        <v>26</v>
      </c>
      <c r="L818" t="s">
        <v>1348</v>
      </c>
      <c r="M818" t="s">
        <v>52</v>
      </c>
      <c r="N818" t="s">
        <v>29</v>
      </c>
      <c r="O818">
        <v>1.22</v>
      </c>
      <c r="P818">
        <v>46824.160000000003</v>
      </c>
      <c r="Q818">
        <v>21</v>
      </c>
      <c r="R818">
        <v>680</v>
      </c>
      <c r="S818">
        <v>11574.42</v>
      </c>
      <c r="T818" t="s">
        <v>63</v>
      </c>
    </row>
    <row r="819" spans="1:20" x14ac:dyDescent="0.35">
      <c r="A819" t="s">
        <v>2993</v>
      </c>
      <c r="B819" t="s">
        <v>2994</v>
      </c>
      <c r="C819" t="s">
        <v>2995</v>
      </c>
      <c r="D819">
        <v>44907</v>
      </c>
      <c r="E819" t="s">
        <v>34</v>
      </c>
      <c r="F819">
        <v>4116.9399999999996</v>
      </c>
      <c r="G819">
        <v>10365.469999999999</v>
      </c>
      <c r="H819" t="s">
        <v>24</v>
      </c>
      <c r="I819">
        <v>58</v>
      </c>
      <c r="J819" t="s">
        <v>25</v>
      </c>
      <c r="K819" t="s">
        <v>26</v>
      </c>
      <c r="L819" t="s">
        <v>1767</v>
      </c>
      <c r="M819" t="s">
        <v>28</v>
      </c>
      <c r="N819" t="s">
        <v>62</v>
      </c>
      <c r="O819">
        <v>3.39</v>
      </c>
      <c r="P819">
        <v>11912.83</v>
      </c>
      <c r="Q819">
        <v>15</v>
      </c>
      <c r="R819">
        <v>785</v>
      </c>
      <c r="S819">
        <v>14029.29</v>
      </c>
      <c r="T819" t="s">
        <v>30</v>
      </c>
    </row>
    <row r="820" spans="1:20" x14ac:dyDescent="0.35">
      <c r="A820" t="s">
        <v>2996</v>
      </c>
      <c r="B820" t="s">
        <v>2997</v>
      </c>
      <c r="C820" t="s">
        <v>2998</v>
      </c>
      <c r="D820">
        <v>45153</v>
      </c>
      <c r="E820" t="s">
        <v>23</v>
      </c>
      <c r="F820">
        <v>2282.84</v>
      </c>
      <c r="G820">
        <v>23522.89</v>
      </c>
      <c r="H820" t="s">
        <v>125</v>
      </c>
      <c r="I820">
        <v>48</v>
      </c>
      <c r="J820" t="s">
        <v>42</v>
      </c>
      <c r="K820" t="s">
        <v>26</v>
      </c>
      <c r="L820" t="s">
        <v>324</v>
      </c>
      <c r="M820" t="s">
        <v>52</v>
      </c>
      <c r="N820" t="s">
        <v>29</v>
      </c>
      <c r="O820">
        <v>1.35</v>
      </c>
      <c r="Q820">
        <v>8</v>
      </c>
      <c r="R820">
        <v>484</v>
      </c>
      <c r="S820">
        <v>7808.84</v>
      </c>
      <c r="T820" t="s">
        <v>45</v>
      </c>
    </row>
    <row r="821" spans="1:20" x14ac:dyDescent="0.35">
      <c r="A821" t="s">
        <v>2999</v>
      </c>
      <c r="B821" t="s">
        <v>3000</v>
      </c>
      <c r="C821" t="s">
        <v>3001</v>
      </c>
      <c r="D821">
        <v>44578</v>
      </c>
      <c r="E821" t="s">
        <v>23</v>
      </c>
      <c r="F821">
        <v>7648.58</v>
      </c>
      <c r="G821">
        <v>22118.21</v>
      </c>
      <c r="H821" t="s">
        <v>100</v>
      </c>
      <c r="I821">
        <v>68</v>
      </c>
      <c r="J821" t="s">
        <v>42</v>
      </c>
      <c r="K821" t="s">
        <v>26</v>
      </c>
      <c r="L821" t="s">
        <v>1512</v>
      </c>
      <c r="M821" t="s">
        <v>38</v>
      </c>
      <c r="N821" t="s">
        <v>44</v>
      </c>
      <c r="O821">
        <v>3.81</v>
      </c>
      <c r="Q821">
        <v>18</v>
      </c>
      <c r="R821">
        <v>759</v>
      </c>
      <c r="S821">
        <v>4250.63</v>
      </c>
      <c r="T821" t="s">
        <v>63</v>
      </c>
    </row>
    <row r="822" spans="1:20" x14ac:dyDescent="0.35">
      <c r="A822" t="s">
        <v>3002</v>
      </c>
      <c r="B822" t="s">
        <v>3003</v>
      </c>
      <c r="C822" t="s">
        <v>3004</v>
      </c>
      <c r="D822">
        <v>45113</v>
      </c>
      <c r="E822" t="s">
        <v>56</v>
      </c>
      <c r="F822">
        <v>5470.46</v>
      </c>
      <c r="G822">
        <v>15920.13</v>
      </c>
      <c r="H822" t="s">
        <v>100</v>
      </c>
      <c r="I822">
        <v>56</v>
      </c>
      <c r="J822" t="s">
        <v>25</v>
      </c>
      <c r="K822" t="s">
        <v>50</v>
      </c>
      <c r="L822" t="s">
        <v>3005</v>
      </c>
      <c r="M822" t="s">
        <v>52</v>
      </c>
      <c r="N822" t="s">
        <v>62</v>
      </c>
      <c r="O822">
        <v>1.21</v>
      </c>
      <c r="R822">
        <v>401</v>
      </c>
      <c r="S822">
        <v>2621.54</v>
      </c>
      <c r="T822" t="s">
        <v>45</v>
      </c>
    </row>
    <row r="823" spans="1:20" x14ac:dyDescent="0.35">
      <c r="A823" t="s">
        <v>3006</v>
      </c>
      <c r="B823" t="s">
        <v>2516</v>
      </c>
      <c r="C823" t="s">
        <v>3007</v>
      </c>
      <c r="D823">
        <v>44902</v>
      </c>
      <c r="E823" t="s">
        <v>23</v>
      </c>
      <c r="F823">
        <v>1581.05</v>
      </c>
      <c r="G823">
        <v>10706.68</v>
      </c>
      <c r="H823" t="s">
        <v>100</v>
      </c>
      <c r="I823">
        <v>51</v>
      </c>
      <c r="J823" t="s">
        <v>25</v>
      </c>
      <c r="K823" t="s">
        <v>36</v>
      </c>
      <c r="L823" t="s">
        <v>3008</v>
      </c>
      <c r="M823" t="s">
        <v>52</v>
      </c>
      <c r="N823" t="s">
        <v>44</v>
      </c>
      <c r="O823">
        <v>1.24</v>
      </c>
      <c r="P823">
        <v>18226.52</v>
      </c>
      <c r="R823">
        <v>314</v>
      </c>
      <c r="S823">
        <v>5203.9799999999996</v>
      </c>
      <c r="T823" t="s">
        <v>63</v>
      </c>
    </row>
    <row r="824" spans="1:20" x14ac:dyDescent="0.35">
      <c r="A824" t="s">
        <v>3009</v>
      </c>
      <c r="B824" t="s">
        <v>3010</v>
      </c>
      <c r="C824" t="s">
        <v>3011</v>
      </c>
      <c r="D824">
        <v>44998</v>
      </c>
      <c r="E824" t="s">
        <v>23</v>
      </c>
      <c r="F824">
        <v>3868.83</v>
      </c>
      <c r="G824">
        <v>4218.91</v>
      </c>
      <c r="H824" t="s">
        <v>125</v>
      </c>
      <c r="I824">
        <v>23</v>
      </c>
      <c r="J824" t="s">
        <v>42</v>
      </c>
      <c r="K824" t="s">
        <v>50</v>
      </c>
      <c r="L824" t="s">
        <v>3012</v>
      </c>
      <c r="M824" t="s">
        <v>38</v>
      </c>
      <c r="N824" t="s">
        <v>29</v>
      </c>
      <c r="O824">
        <v>2.2200000000000002</v>
      </c>
      <c r="Q824">
        <v>10</v>
      </c>
      <c r="R824">
        <v>350</v>
      </c>
      <c r="S824">
        <v>3861.57</v>
      </c>
      <c r="T824" t="s">
        <v>30</v>
      </c>
    </row>
    <row r="825" spans="1:20" x14ac:dyDescent="0.35">
      <c r="A825" t="s">
        <v>3013</v>
      </c>
      <c r="B825" t="s">
        <v>3014</v>
      </c>
      <c r="C825" t="s">
        <v>3015</v>
      </c>
      <c r="D825">
        <v>44862</v>
      </c>
      <c r="E825" t="s">
        <v>56</v>
      </c>
      <c r="F825">
        <v>4203.25</v>
      </c>
      <c r="G825">
        <v>44468.85</v>
      </c>
      <c r="H825" t="s">
        <v>100</v>
      </c>
      <c r="I825">
        <v>67</v>
      </c>
      <c r="J825" t="s">
        <v>42</v>
      </c>
      <c r="K825" t="s">
        <v>50</v>
      </c>
      <c r="L825" t="s">
        <v>3016</v>
      </c>
      <c r="M825" t="s">
        <v>28</v>
      </c>
      <c r="N825" t="s">
        <v>44</v>
      </c>
      <c r="O825">
        <v>4.59</v>
      </c>
      <c r="R825">
        <v>608</v>
      </c>
      <c r="S825">
        <v>9253.33</v>
      </c>
      <c r="T825" t="s">
        <v>45</v>
      </c>
    </row>
    <row r="826" spans="1:20" x14ac:dyDescent="0.35">
      <c r="A826" t="s">
        <v>3017</v>
      </c>
      <c r="B826" t="s">
        <v>3018</v>
      </c>
      <c r="C826" t="s">
        <v>3019</v>
      </c>
      <c r="D826">
        <v>44639</v>
      </c>
      <c r="E826" t="s">
        <v>23</v>
      </c>
      <c r="F826">
        <v>7562.91</v>
      </c>
      <c r="G826">
        <v>21572.59</v>
      </c>
      <c r="H826" t="s">
        <v>24</v>
      </c>
      <c r="I826">
        <v>55</v>
      </c>
      <c r="J826" t="s">
        <v>25</v>
      </c>
      <c r="K826" t="s">
        <v>50</v>
      </c>
      <c r="L826" t="s">
        <v>773</v>
      </c>
      <c r="M826" t="s">
        <v>28</v>
      </c>
      <c r="N826" t="s">
        <v>62</v>
      </c>
      <c r="O826">
        <v>3.57</v>
      </c>
      <c r="P826">
        <v>29102.67</v>
      </c>
      <c r="Q826">
        <v>9</v>
      </c>
      <c r="R826">
        <v>333</v>
      </c>
      <c r="S826">
        <v>4404.29</v>
      </c>
      <c r="T826" t="s">
        <v>63</v>
      </c>
    </row>
    <row r="827" spans="1:20" x14ac:dyDescent="0.35">
      <c r="A827" t="s">
        <v>3020</v>
      </c>
      <c r="B827" t="s">
        <v>3021</v>
      </c>
      <c r="C827" t="s">
        <v>3022</v>
      </c>
      <c r="D827">
        <v>44700</v>
      </c>
      <c r="E827" t="s">
        <v>56</v>
      </c>
      <c r="F827">
        <v>304.64999999999998</v>
      </c>
      <c r="G827">
        <v>25347.88</v>
      </c>
      <c r="H827" t="s">
        <v>125</v>
      </c>
      <c r="I827">
        <v>62</v>
      </c>
      <c r="J827" t="s">
        <v>25</v>
      </c>
      <c r="K827" t="s">
        <v>26</v>
      </c>
      <c r="L827" t="s">
        <v>2953</v>
      </c>
      <c r="M827" t="s">
        <v>38</v>
      </c>
      <c r="N827" t="s">
        <v>62</v>
      </c>
      <c r="O827">
        <v>4.08</v>
      </c>
      <c r="P827">
        <v>7709.92</v>
      </c>
      <c r="R827">
        <v>504</v>
      </c>
      <c r="S827">
        <v>2506.14</v>
      </c>
      <c r="T827" t="s">
        <v>63</v>
      </c>
    </row>
    <row r="828" spans="1:20" x14ac:dyDescent="0.35">
      <c r="A828" t="s">
        <v>3023</v>
      </c>
      <c r="B828" t="s">
        <v>3024</v>
      </c>
      <c r="C828" t="s">
        <v>3025</v>
      </c>
      <c r="D828">
        <v>44796</v>
      </c>
      <c r="E828" t="s">
        <v>71</v>
      </c>
      <c r="F828">
        <v>2763.29</v>
      </c>
      <c r="G828">
        <v>45930.16</v>
      </c>
      <c r="H828" t="s">
        <v>35</v>
      </c>
      <c r="I828">
        <v>68</v>
      </c>
      <c r="J828" t="s">
        <v>42</v>
      </c>
      <c r="K828" t="s">
        <v>50</v>
      </c>
      <c r="L828" t="s">
        <v>3026</v>
      </c>
      <c r="M828" t="s">
        <v>38</v>
      </c>
      <c r="N828" t="s">
        <v>62</v>
      </c>
      <c r="O828">
        <v>1.57</v>
      </c>
      <c r="P828">
        <v>8667.0499999999993</v>
      </c>
      <c r="R828">
        <v>369</v>
      </c>
      <c r="S828">
        <v>2467.87</v>
      </c>
      <c r="T828" t="s">
        <v>30</v>
      </c>
    </row>
    <row r="829" spans="1:20" x14ac:dyDescent="0.35">
      <c r="A829" t="s">
        <v>3027</v>
      </c>
      <c r="B829" t="s">
        <v>3028</v>
      </c>
      <c r="C829" t="s">
        <v>3029</v>
      </c>
      <c r="D829">
        <v>44609</v>
      </c>
      <c r="E829" t="s">
        <v>34</v>
      </c>
      <c r="F829">
        <v>5224.2</v>
      </c>
      <c r="G829">
        <v>39038.230000000003</v>
      </c>
      <c r="H829" t="s">
        <v>125</v>
      </c>
      <c r="I829">
        <v>51</v>
      </c>
      <c r="J829" t="s">
        <v>42</v>
      </c>
      <c r="K829" t="s">
        <v>36</v>
      </c>
      <c r="L829" t="s">
        <v>1341</v>
      </c>
      <c r="M829" t="s">
        <v>28</v>
      </c>
      <c r="N829" t="s">
        <v>44</v>
      </c>
      <c r="O829">
        <v>4.34</v>
      </c>
      <c r="P829">
        <v>33935.58</v>
      </c>
      <c r="R829">
        <v>529</v>
      </c>
      <c r="S829">
        <v>12810.4</v>
      </c>
      <c r="T829" t="s">
        <v>45</v>
      </c>
    </row>
    <row r="830" spans="1:20" x14ac:dyDescent="0.35">
      <c r="A830" t="s">
        <v>3030</v>
      </c>
      <c r="B830" t="s">
        <v>3031</v>
      </c>
      <c r="C830" t="s">
        <v>3032</v>
      </c>
      <c r="D830">
        <v>45118</v>
      </c>
      <c r="E830" t="s">
        <v>34</v>
      </c>
      <c r="F830">
        <v>2761.58</v>
      </c>
      <c r="G830">
        <v>7394.56</v>
      </c>
      <c r="H830" t="s">
        <v>24</v>
      </c>
      <c r="I830">
        <v>61</v>
      </c>
      <c r="J830" t="s">
        <v>42</v>
      </c>
      <c r="K830" t="s">
        <v>50</v>
      </c>
      <c r="L830" t="s">
        <v>288</v>
      </c>
      <c r="M830" t="s">
        <v>52</v>
      </c>
      <c r="N830" t="s">
        <v>62</v>
      </c>
      <c r="O830">
        <v>1.03</v>
      </c>
      <c r="R830">
        <v>779</v>
      </c>
      <c r="S830">
        <v>9688.85</v>
      </c>
      <c r="T830" t="s">
        <v>45</v>
      </c>
    </row>
    <row r="831" spans="1:20" x14ac:dyDescent="0.35">
      <c r="A831" t="s">
        <v>3033</v>
      </c>
      <c r="B831" t="s">
        <v>3034</v>
      </c>
      <c r="C831" t="s">
        <v>3035</v>
      </c>
      <c r="D831">
        <v>44606</v>
      </c>
      <c r="E831" t="s">
        <v>23</v>
      </c>
      <c r="F831">
        <v>6321.5</v>
      </c>
      <c r="G831">
        <v>28705.58</v>
      </c>
      <c r="H831" t="s">
        <v>35</v>
      </c>
      <c r="I831">
        <v>32</v>
      </c>
      <c r="J831" t="s">
        <v>25</v>
      </c>
      <c r="K831" t="s">
        <v>26</v>
      </c>
      <c r="L831" t="s">
        <v>1294</v>
      </c>
      <c r="M831" t="s">
        <v>38</v>
      </c>
      <c r="N831" t="s">
        <v>44</v>
      </c>
      <c r="O831">
        <v>1.85</v>
      </c>
      <c r="P831">
        <v>48693.97</v>
      </c>
      <c r="R831">
        <v>832</v>
      </c>
      <c r="S831">
        <v>6655.11</v>
      </c>
      <c r="T831" t="s">
        <v>45</v>
      </c>
    </row>
    <row r="832" spans="1:20" x14ac:dyDescent="0.35">
      <c r="A832" t="s">
        <v>3036</v>
      </c>
      <c r="B832" t="s">
        <v>3037</v>
      </c>
      <c r="C832" t="s">
        <v>3038</v>
      </c>
      <c r="D832">
        <v>44653</v>
      </c>
      <c r="E832" t="s">
        <v>23</v>
      </c>
      <c r="F832">
        <v>4870.49</v>
      </c>
      <c r="G832">
        <v>22670.36</v>
      </c>
      <c r="H832" t="s">
        <v>125</v>
      </c>
      <c r="I832">
        <v>31</v>
      </c>
      <c r="J832" t="s">
        <v>42</v>
      </c>
      <c r="K832" t="s">
        <v>36</v>
      </c>
      <c r="L832" t="s">
        <v>2098</v>
      </c>
      <c r="M832" t="s">
        <v>52</v>
      </c>
      <c r="N832" t="s">
        <v>29</v>
      </c>
      <c r="O832">
        <v>3.46</v>
      </c>
      <c r="R832">
        <v>407</v>
      </c>
      <c r="S832">
        <v>13624.96</v>
      </c>
      <c r="T832" t="s">
        <v>30</v>
      </c>
    </row>
    <row r="833" spans="1:20" x14ac:dyDescent="0.35">
      <c r="A833" t="s">
        <v>3039</v>
      </c>
      <c r="B833" t="s">
        <v>3040</v>
      </c>
      <c r="C833" t="s">
        <v>3041</v>
      </c>
      <c r="D833">
        <v>44626</v>
      </c>
      <c r="E833" t="s">
        <v>23</v>
      </c>
      <c r="F833">
        <v>3680.93</v>
      </c>
      <c r="G833">
        <v>40063.339999999997</v>
      </c>
      <c r="H833" t="s">
        <v>100</v>
      </c>
      <c r="I833">
        <v>23</v>
      </c>
      <c r="J833" t="s">
        <v>25</v>
      </c>
      <c r="K833" t="s">
        <v>36</v>
      </c>
      <c r="L833" t="s">
        <v>113</v>
      </c>
      <c r="M833" t="s">
        <v>38</v>
      </c>
      <c r="N833" t="s">
        <v>29</v>
      </c>
      <c r="O833">
        <v>2.5</v>
      </c>
      <c r="P833">
        <v>5453.31</v>
      </c>
      <c r="Q833">
        <v>4</v>
      </c>
      <c r="R833">
        <v>540</v>
      </c>
      <c r="S833">
        <v>2912.56</v>
      </c>
      <c r="T833" t="s">
        <v>63</v>
      </c>
    </row>
    <row r="834" spans="1:20" x14ac:dyDescent="0.35">
      <c r="A834" t="s">
        <v>3042</v>
      </c>
      <c r="B834" t="s">
        <v>3043</v>
      </c>
      <c r="C834" t="s">
        <v>3044</v>
      </c>
      <c r="D834">
        <v>45117</v>
      </c>
      <c r="E834" t="s">
        <v>34</v>
      </c>
      <c r="F834">
        <v>9497.17</v>
      </c>
      <c r="G834">
        <v>36487.39</v>
      </c>
      <c r="H834" t="s">
        <v>49</v>
      </c>
      <c r="I834">
        <v>67</v>
      </c>
      <c r="J834" t="s">
        <v>25</v>
      </c>
      <c r="K834" t="s">
        <v>36</v>
      </c>
      <c r="L834" t="s">
        <v>1520</v>
      </c>
      <c r="M834" t="s">
        <v>28</v>
      </c>
      <c r="N834" t="s">
        <v>44</v>
      </c>
      <c r="O834">
        <v>4.9400000000000004</v>
      </c>
      <c r="P834">
        <v>26645.85</v>
      </c>
      <c r="R834">
        <v>550</v>
      </c>
      <c r="S834">
        <v>14744.19</v>
      </c>
      <c r="T834" t="s">
        <v>63</v>
      </c>
    </row>
    <row r="835" spans="1:20" x14ac:dyDescent="0.35">
      <c r="A835" t="s">
        <v>3045</v>
      </c>
      <c r="B835" t="s">
        <v>3046</v>
      </c>
      <c r="C835" t="s">
        <v>3047</v>
      </c>
      <c r="D835">
        <v>44980</v>
      </c>
      <c r="E835" t="s">
        <v>71</v>
      </c>
      <c r="F835">
        <v>6358.38</v>
      </c>
      <c r="G835">
        <v>34829.879999999997</v>
      </c>
      <c r="H835" t="s">
        <v>49</v>
      </c>
      <c r="I835">
        <v>54</v>
      </c>
      <c r="J835" t="s">
        <v>25</v>
      </c>
      <c r="K835" t="s">
        <v>36</v>
      </c>
      <c r="L835" t="s">
        <v>2131</v>
      </c>
      <c r="M835" t="s">
        <v>52</v>
      </c>
      <c r="N835" t="s">
        <v>62</v>
      </c>
      <c r="O835">
        <v>1.1200000000000001</v>
      </c>
      <c r="Q835">
        <v>27</v>
      </c>
      <c r="R835">
        <v>434</v>
      </c>
      <c r="S835">
        <v>10011.790000000001</v>
      </c>
      <c r="T835" t="s">
        <v>45</v>
      </c>
    </row>
    <row r="836" spans="1:20" x14ac:dyDescent="0.35">
      <c r="A836" t="s">
        <v>3048</v>
      </c>
      <c r="B836" t="s">
        <v>3049</v>
      </c>
      <c r="C836" t="s">
        <v>3050</v>
      </c>
      <c r="D836">
        <v>44925</v>
      </c>
      <c r="E836" t="s">
        <v>71</v>
      </c>
      <c r="F836">
        <v>1386.42</v>
      </c>
      <c r="G836">
        <v>17686.7</v>
      </c>
      <c r="H836" t="s">
        <v>100</v>
      </c>
      <c r="I836">
        <v>67</v>
      </c>
      <c r="J836" t="s">
        <v>42</v>
      </c>
      <c r="K836" t="s">
        <v>50</v>
      </c>
      <c r="L836" t="s">
        <v>3051</v>
      </c>
      <c r="M836" t="s">
        <v>52</v>
      </c>
      <c r="N836" t="s">
        <v>44</v>
      </c>
      <c r="O836">
        <v>4.99</v>
      </c>
      <c r="Q836">
        <v>6</v>
      </c>
      <c r="R836">
        <v>389</v>
      </c>
      <c r="S836">
        <v>4385.04</v>
      </c>
      <c r="T836" t="s">
        <v>63</v>
      </c>
    </row>
    <row r="837" spans="1:20" x14ac:dyDescent="0.35">
      <c r="A837" t="s">
        <v>3052</v>
      </c>
      <c r="B837" t="s">
        <v>3053</v>
      </c>
      <c r="C837" t="s">
        <v>3054</v>
      </c>
      <c r="D837">
        <v>44789</v>
      </c>
      <c r="E837" t="s">
        <v>34</v>
      </c>
      <c r="F837">
        <v>5644.91</v>
      </c>
      <c r="G837">
        <v>40443.22</v>
      </c>
      <c r="H837" t="s">
        <v>49</v>
      </c>
      <c r="I837">
        <v>49</v>
      </c>
      <c r="J837" t="s">
        <v>42</v>
      </c>
      <c r="K837" t="s">
        <v>26</v>
      </c>
      <c r="L837" t="s">
        <v>3055</v>
      </c>
      <c r="M837" t="s">
        <v>38</v>
      </c>
      <c r="N837" t="s">
        <v>44</v>
      </c>
      <c r="O837">
        <v>3.49</v>
      </c>
      <c r="Q837">
        <v>22</v>
      </c>
      <c r="R837">
        <v>739</v>
      </c>
      <c r="S837">
        <v>10827.9</v>
      </c>
      <c r="T837" t="s">
        <v>45</v>
      </c>
    </row>
    <row r="838" spans="1:20" x14ac:dyDescent="0.35">
      <c r="A838" t="s">
        <v>3056</v>
      </c>
      <c r="B838" t="s">
        <v>3057</v>
      </c>
      <c r="C838" t="s">
        <v>3058</v>
      </c>
      <c r="D838">
        <v>44757</v>
      </c>
      <c r="E838" t="s">
        <v>71</v>
      </c>
      <c r="F838">
        <v>7829.25</v>
      </c>
      <c r="G838">
        <v>3567.17</v>
      </c>
      <c r="H838" t="s">
        <v>49</v>
      </c>
      <c r="I838">
        <v>20</v>
      </c>
      <c r="J838" t="s">
        <v>42</v>
      </c>
      <c r="K838" t="s">
        <v>36</v>
      </c>
      <c r="L838" t="s">
        <v>1991</v>
      </c>
      <c r="M838" t="s">
        <v>52</v>
      </c>
      <c r="N838" t="s">
        <v>44</v>
      </c>
      <c r="O838">
        <v>3.23</v>
      </c>
      <c r="P838">
        <v>41225.51</v>
      </c>
      <c r="Q838">
        <v>26</v>
      </c>
      <c r="R838">
        <v>597</v>
      </c>
      <c r="S838">
        <v>11923.96</v>
      </c>
      <c r="T838" t="s">
        <v>30</v>
      </c>
    </row>
    <row r="839" spans="1:20" x14ac:dyDescent="0.35">
      <c r="A839" t="s">
        <v>3059</v>
      </c>
      <c r="B839" t="s">
        <v>3060</v>
      </c>
      <c r="C839" t="s">
        <v>3061</v>
      </c>
      <c r="D839">
        <v>44588</v>
      </c>
      <c r="E839" t="s">
        <v>34</v>
      </c>
      <c r="F839">
        <v>7114.05</v>
      </c>
      <c r="G839">
        <v>8821.6200000000008</v>
      </c>
      <c r="H839" t="s">
        <v>100</v>
      </c>
      <c r="I839">
        <v>20</v>
      </c>
      <c r="J839" t="s">
        <v>25</v>
      </c>
      <c r="K839" t="s">
        <v>36</v>
      </c>
      <c r="L839" t="s">
        <v>2063</v>
      </c>
      <c r="M839" t="s">
        <v>38</v>
      </c>
      <c r="N839" t="s">
        <v>29</v>
      </c>
      <c r="O839">
        <v>1.24</v>
      </c>
      <c r="P839">
        <v>15353.87</v>
      </c>
      <c r="Q839">
        <v>22</v>
      </c>
      <c r="R839">
        <v>706</v>
      </c>
      <c r="S839">
        <v>7581.46</v>
      </c>
      <c r="T839" t="s">
        <v>30</v>
      </c>
    </row>
    <row r="840" spans="1:20" x14ac:dyDescent="0.35">
      <c r="A840" t="s">
        <v>3062</v>
      </c>
      <c r="B840" t="s">
        <v>3063</v>
      </c>
      <c r="C840" t="s">
        <v>3064</v>
      </c>
      <c r="D840">
        <v>44801</v>
      </c>
      <c r="E840" t="s">
        <v>71</v>
      </c>
      <c r="F840">
        <v>1803.68</v>
      </c>
      <c r="G840">
        <v>17445.54</v>
      </c>
      <c r="H840" t="s">
        <v>100</v>
      </c>
      <c r="I840">
        <v>39</v>
      </c>
      <c r="J840" t="s">
        <v>42</v>
      </c>
      <c r="K840" t="s">
        <v>26</v>
      </c>
      <c r="L840" t="s">
        <v>178</v>
      </c>
      <c r="M840" t="s">
        <v>28</v>
      </c>
      <c r="N840" t="s">
        <v>44</v>
      </c>
      <c r="O840">
        <v>2.09</v>
      </c>
      <c r="Q840">
        <v>5</v>
      </c>
      <c r="R840">
        <v>607</v>
      </c>
      <c r="S840">
        <v>13201.22</v>
      </c>
      <c r="T840" t="s">
        <v>30</v>
      </c>
    </row>
    <row r="841" spans="1:20" x14ac:dyDescent="0.35">
      <c r="A841" t="s">
        <v>3065</v>
      </c>
      <c r="B841" t="s">
        <v>3066</v>
      </c>
      <c r="C841" t="s">
        <v>3067</v>
      </c>
      <c r="D841">
        <v>44841</v>
      </c>
      <c r="E841" t="s">
        <v>56</v>
      </c>
      <c r="F841">
        <v>9726.9599999999991</v>
      </c>
      <c r="G841">
        <v>4763.5600000000004</v>
      </c>
      <c r="H841" t="s">
        <v>125</v>
      </c>
      <c r="I841">
        <v>39</v>
      </c>
      <c r="J841" t="s">
        <v>25</v>
      </c>
      <c r="K841" t="s">
        <v>50</v>
      </c>
      <c r="L841" t="s">
        <v>3068</v>
      </c>
      <c r="M841" t="s">
        <v>52</v>
      </c>
      <c r="N841" t="s">
        <v>29</v>
      </c>
      <c r="O841">
        <v>4.7</v>
      </c>
      <c r="R841">
        <v>401</v>
      </c>
      <c r="S841">
        <v>3959.52</v>
      </c>
      <c r="T841" t="s">
        <v>45</v>
      </c>
    </row>
    <row r="842" spans="1:20" x14ac:dyDescent="0.35">
      <c r="A842" t="s">
        <v>3069</v>
      </c>
      <c r="B842" t="s">
        <v>3070</v>
      </c>
      <c r="C842" t="s">
        <v>3071</v>
      </c>
      <c r="D842">
        <v>44692</v>
      </c>
      <c r="E842" t="s">
        <v>56</v>
      </c>
      <c r="F842">
        <v>4543.26</v>
      </c>
      <c r="G842">
        <v>12514.72</v>
      </c>
      <c r="H842" t="s">
        <v>125</v>
      </c>
      <c r="I842">
        <v>27</v>
      </c>
      <c r="J842" t="s">
        <v>25</v>
      </c>
      <c r="K842" t="s">
        <v>36</v>
      </c>
      <c r="L842" t="s">
        <v>1121</v>
      </c>
      <c r="M842" t="s">
        <v>38</v>
      </c>
      <c r="N842" t="s">
        <v>44</v>
      </c>
      <c r="O842">
        <v>2.42</v>
      </c>
      <c r="P842">
        <v>18352.29</v>
      </c>
      <c r="R842">
        <v>660</v>
      </c>
      <c r="S842">
        <v>5624.89</v>
      </c>
      <c r="T842" t="s">
        <v>63</v>
      </c>
    </row>
    <row r="843" spans="1:20" x14ac:dyDescent="0.35">
      <c r="A843" t="s">
        <v>3072</v>
      </c>
      <c r="B843" t="s">
        <v>2456</v>
      </c>
      <c r="C843" t="s">
        <v>3073</v>
      </c>
      <c r="D843">
        <v>44745</v>
      </c>
      <c r="E843" t="s">
        <v>34</v>
      </c>
      <c r="F843">
        <v>1674.35</v>
      </c>
      <c r="G843">
        <v>41677.4</v>
      </c>
      <c r="H843" t="s">
        <v>100</v>
      </c>
      <c r="I843">
        <v>68</v>
      </c>
      <c r="J843" t="s">
        <v>25</v>
      </c>
      <c r="K843" t="s">
        <v>50</v>
      </c>
      <c r="L843" t="s">
        <v>3074</v>
      </c>
      <c r="M843" t="s">
        <v>52</v>
      </c>
      <c r="N843" t="s">
        <v>29</v>
      </c>
      <c r="O843">
        <v>3.65</v>
      </c>
      <c r="R843">
        <v>827</v>
      </c>
      <c r="S843">
        <v>3215.4</v>
      </c>
      <c r="T843" t="s">
        <v>30</v>
      </c>
    </row>
    <row r="844" spans="1:20" x14ac:dyDescent="0.35">
      <c r="A844" t="s">
        <v>3075</v>
      </c>
      <c r="B844" t="s">
        <v>3076</v>
      </c>
      <c r="C844" t="s">
        <v>3077</v>
      </c>
      <c r="D844">
        <v>44657</v>
      </c>
      <c r="E844" t="s">
        <v>71</v>
      </c>
      <c r="F844">
        <v>1883.94</v>
      </c>
      <c r="G844">
        <v>47464.33</v>
      </c>
      <c r="H844" t="s">
        <v>24</v>
      </c>
      <c r="I844">
        <v>20</v>
      </c>
      <c r="J844" t="s">
        <v>25</v>
      </c>
      <c r="K844" t="s">
        <v>50</v>
      </c>
      <c r="L844" t="s">
        <v>1225</v>
      </c>
      <c r="M844" t="s">
        <v>38</v>
      </c>
      <c r="N844" t="s">
        <v>44</v>
      </c>
      <c r="O844">
        <v>5</v>
      </c>
      <c r="Q844">
        <v>9</v>
      </c>
      <c r="R844">
        <v>592</v>
      </c>
      <c r="S844">
        <v>4741.41</v>
      </c>
      <c r="T844" t="s">
        <v>45</v>
      </c>
    </row>
    <row r="845" spans="1:20" x14ac:dyDescent="0.35">
      <c r="A845" t="s">
        <v>3078</v>
      </c>
      <c r="B845" t="s">
        <v>3079</v>
      </c>
      <c r="C845" t="s">
        <v>3080</v>
      </c>
      <c r="D845">
        <v>44617</v>
      </c>
      <c r="E845" t="s">
        <v>23</v>
      </c>
      <c r="F845">
        <v>1072.53</v>
      </c>
      <c r="G845">
        <v>15925.52</v>
      </c>
      <c r="H845" t="s">
        <v>49</v>
      </c>
      <c r="I845">
        <v>29</v>
      </c>
      <c r="J845" t="s">
        <v>25</v>
      </c>
      <c r="K845" t="s">
        <v>50</v>
      </c>
      <c r="L845" t="s">
        <v>3081</v>
      </c>
      <c r="M845" t="s">
        <v>38</v>
      </c>
      <c r="N845" t="s">
        <v>44</v>
      </c>
      <c r="O845">
        <v>2.0499999999999998</v>
      </c>
      <c r="P845">
        <v>48616.5</v>
      </c>
      <c r="Q845">
        <v>19</v>
      </c>
      <c r="R845">
        <v>445</v>
      </c>
      <c r="S845">
        <v>5103.47</v>
      </c>
      <c r="T845" t="s">
        <v>45</v>
      </c>
    </row>
    <row r="846" spans="1:20" x14ac:dyDescent="0.35">
      <c r="A846" t="s">
        <v>3082</v>
      </c>
      <c r="B846" t="s">
        <v>3083</v>
      </c>
      <c r="C846" t="s">
        <v>3084</v>
      </c>
      <c r="D846">
        <v>44998</v>
      </c>
      <c r="E846" t="s">
        <v>71</v>
      </c>
      <c r="F846">
        <v>8054.83</v>
      </c>
      <c r="G846">
        <v>13961.27</v>
      </c>
      <c r="H846" t="s">
        <v>125</v>
      </c>
      <c r="I846">
        <v>46</v>
      </c>
      <c r="J846" t="s">
        <v>25</v>
      </c>
      <c r="K846" t="s">
        <v>50</v>
      </c>
      <c r="L846" t="s">
        <v>2021</v>
      </c>
      <c r="M846" t="s">
        <v>38</v>
      </c>
      <c r="N846" t="s">
        <v>62</v>
      </c>
      <c r="O846">
        <v>3.3</v>
      </c>
      <c r="Q846">
        <v>19</v>
      </c>
      <c r="R846">
        <v>703</v>
      </c>
      <c r="S846">
        <v>13929.23</v>
      </c>
      <c r="T846" t="s">
        <v>30</v>
      </c>
    </row>
    <row r="847" spans="1:20" x14ac:dyDescent="0.35">
      <c r="A847" t="s">
        <v>3085</v>
      </c>
      <c r="B847" t="s">
        <v>3086</v>
      </c>
      <c r="C847" t="s">
        <v>3087</v>
      </c>
      <c r="D847">
        <v>44904</v>
      </c>
      <c r="E847" t="s">
        <v>56</v>
      </c>
      <c r="F847">
        <v>1308.0999999999999</v>
      </c>
      <c r="G847">
        <v>14714.74</v>
      </c>
      <c r="H847" t="s">
        <v>49</v>
      </c>
      <c r="I847">
        <v>65</v>
      </c>
      <c r="J847" t="s">
        <v>42</v>
      </c>
      <c r="K847" t="s">
        <v>36</v>
      </c>
      <c r="L847" t="s">
        <v>241</v>
      </c>
      <c r="M847" t="s">
        <v>28</v>
      </c>
      <c r="N847" t="s">
        <v>62</v>
      </c>
      <c r="O847">
        <v>3.79</v>
      </c>
      <c r="P847">
        <v>31614.36</v>
      </c>
      <c r="R847">
        <v>301</v>
      </c>
      <c r="S847">
        <v>3015.43</v>
      </c>
      <c r="T847" t="s">
        <v>30</v>
      </c>
    </row>
    <row r="848" spans="1:20" x14ac:dyDescent="0.35">
      <c r="A848" t="s">
        <v>3088</v>
      </c>
      <c r="B848" t="s">
        <v>3089</v>
      </c>
      <c r="C848" t="s">
        <v>3090</v>
      </c>
      <c r="D848">
        <v>45032</v>
      </c>
      <c r="E848" t="s">
        <v>56</v>
      </c>
      <c r="F848">
        <v>1338.74</v>
      </c>
      <c r="G848">
        <v>14608.24</v>
      </c>
      <c r="H848" t="s">
        <v>35</v>
      </c>
      <c r="I848">
        <v>34</v>
      </c>
      <c r="J848" t="s">
        <v>25</v>
      </c>
      <c r="K848" t="s">
        <v>36</v>
      </c>
      <c r="L848" t="s">
        <v>2220</v>
      </c>
      <c r="M848" t="s">
        <v>52</v>
      </c>
      <c r="N848" t="s">
        <v>44</v>
      </c>
      <c r="O848">
        <v>1.66</v>
      </c>
      <c r="P848">
        <v>43623.92</v>
      </c>
      <c r="R848">
        <v>418</v>
      </c>
      <c r="S848">
        <v>7556.4</v>
      </c>
      <c r="T848" t="s">
        <v>30</v>
      </c>
    </row>
    <row r="849" spans="1:20" x14ac:dyDescent="0.35">
      <c r="A849" t="s">
        <v>3091</v>
      </c>
      <c r="B849" t="s">
        <v>3092</v>
      </c>
      <c r="C849" t="s">
        <v>3093</v>
      </c>
      <c r="D849">
        <v>44893</v>
      </c>
      <c r="E849" t="s">
        <v>71</v>
      </c>
      <c r="F849">
        <v>8519.67</v>
      </c>
      <c r="G849">
        <v>2760.58</v>
      </c>
      <c r="H849" t="s">
        <v>100</v>
      </c>
      <c r="I849">
        <v>24</v>
      </c>
      <c r="J849" t="s">
        <v>42</v>
      </c>
      <c r="K849" t="s">
        <v>50</v>
      </c>
      <c r="L849" t="s">
        <v>72</v>
      </c>
      <c r="M849" t="s">
        <v>28</v>
      </c>
      <c r="N849" t="s">
        <v>44</v>
      </c>
      <c r="O849">
        <v>1.59</v>
      </c>
      <c r="P849">
        <v>26633.34</v>
      </c>
      <c r="R849">
        <v>490</v>
      </c>
      <c r="S849">
        <v>8921.18</v>
      </c>
      <c r="T849" t="s">
        <v>63</v>
      </c>
    </row>
    <row r="850" spans="1:20" x14ac:dyDescent="0.35">
      <c r="A850" t="s">
        <v>3094</v>
      </c>
      <c r="B850" t="s">
        <v>3095</v>
      </c>
      <c r="C850" t="s">
        <v>3096</v>
      </c>
      <c r="D850">
        <v>44597</v>
      </c>
      <c r="E850" t="s">
        <v>71</v>
      </c>
      <c r="F850">
        <v>3511.58</v>
      </c>
      <c r="G850">
        <v>46418.9</v>
      </c>
      <c r="H850" t="s">
        <v>24</v>
      </c>
      <c r="I850">
        <v>30</v>
      </c>
      <c r="J850" t="s">
        <v>25</v>
      </c>
      <c r="K850" t="s">
        <v>50</v>
      </c>
      <c r="L850" t="s">
        <v>3097</v>
      </c>
      <c r="M850" t="s">
        <v>38</v>
      </c>
      <c r="N850" t="s">
        <v>44</v>
      </c>
      <c r="O850">
        <v>2.83</v>
      </c>
      <c r="Q850">
        <v>12</v>
      </c>
      <c r="R850">
        <v>302</v>
      </c>
      <c r="S850">
        <v>13683.01</v>
      </c>
      <c r="T850" t="s">
        <v>63</v>
      </c>
    </row>
    <row r="851" spans="1:20" x14ac:dyDescent="0.35">
      <c r="A851" t="s">
        <v>3098</v>
      </c>
      <c r="B851" t="s">
        <v>3099</v>
      </c>
      <c r="C851" t="s">
        <v>3100</v>
      </c>
      <c r="D851">
        <v>44801</v>
      </c>
      <c r="E851" t="s">
        <v>23</v>
      </c>
      <c r="F851">
        <v>405.49</v>
      </c>
      <c r="G851">
        <v>11471.21</v>
      </c>
      <c r="H851" t="s">
        <v>35</v>
      </c>
      <c r="I851">
        <v>19</v>
      </c>
      <c r="J851" t="s">
        <v>42</v>
      </c>
      <c r="K851" t="s">
        <v>26</v>
      </c>
      <c r="L851" t="s">
        <v>2443</v>
      </c>
      <c r="M851" t="s">
        <v>38</v>
      </c>
      <c r="N851" t="s">
        <v>44</v>
      </c>
      <c r="O851">
        <v>2.54</v>
      </c>
      <c r="Q851">
        <v>3</v>
      </c>
      <c r="R851">
        <v>786</v>
      </c>
      <c r="S851">
        <v>14970.05</v>
      </c>
      <c r="T851" t="s">
        <v>45</v>
      </c>
    </row>
    <row r="852" spans="1:20" x14ac:dyDescent="0.35">
      <c r="A852" t="s">
        <v>3101</v>
      </c>
      <c r="B852" t="s">
        <v>3102</v>
      </c>
      <c r="C852" t="s">
        <v>3103</v>
      </c>
      <c r="D852">
        <v>44667</v>
      </c>
      <c r="E852" t="s">
        <v>23</v>
      </c>
      <c r="F852">
        <v>613.76</v>
      </c>
      <c r="G852">
        <v>21580.2</v>
      </c>
      <c r="H852" t="s">
        <v>35</v>
      </c>
      <c r="I852">
        <v>21</v>
      </c>
      <c r="J852" t="s">
        <v>42</v>
      </c>
      <c r="K852" t="s">
        <v>26</v>
      </c>
      <c r="L852" t="s">
        <v>3104</v>
      </c>
      <c r="M852" t="s">
        <v>28</v>
      </c>
      <c r="N852" t="s">
        <v>62</v>
      </c>
      <c r="O852">
        <v>3.86</v>
      </c>
      <c r="Q852">
        <v>18</v>
      </c>
      <c r="R852">
        <v>476</v>
      </c>
      <c r="S852">
        <v>11794.05</v>
      </c>
      <c r="T852" t="s">
        <v>30</v>
      </c>
    </row>
    <row r="853" spans="1:20" x14ac:dyDescent="0.35">
      <c r="A853" t="s">
        <v>3105</v>
      </c>
      <c r="B853" t="s">
        <v>3106</v>
      </c>
      <c r="C853" t="s">
        <v>3107</v>
      </c>
      <c r="D853">
        <v>45137</v>
      </c>
      <c r="E853" t="s">
        <v>71</v>
      </c>
      <c r="F853">
        <v>1507.49</v>
      </c>
      <c r="G853">
        <v>1474.66</v>
      </c>
      <c r="H853" t="s">
        <v>35</v>
      </c>
      <c r="I853">
        <v>27</v>
      </c>
      <c r="J853" t="s">
        <v>42</v>
      </c>
      <c r="K853" t="s">
        <v>26</v>
      </c>
      <c r="L853" t="s">
        <v>3108</v>
      </c>
      <c r="M853" t="s">
        <v>28</v>
      </c>
      <c r="N853" t="s">
        <v>29</v>
      </c>
      <c r="O853">
        <v>1.28</v>
      </c>
      <c r="R853">
        <v>556</v>
      </c>
      <c r="S853">
        <v>14620.28</v>
      </c>
      <c r="T853" t="s">
        <v>30</v>
      </c>
    </row>
    <row r="854" spans="1:20" x14ac:dyDescent="0.35">
      <c r="A854" t="s">
        <v>3109</v>
      </c>
      <c r="B854" t="s">
        <v>3110</v>
      </c>
      <c r="C854" t="s">
        <v>3111</v>
      </c>
      <c r="D854">
        <v>45119</v>
      </c>
      <c r="E854" t="s">
        <v>71</v>
      </c>
      <c r="F854">
        <v>2212.59</v>
      </c>
      <c r="G854">
        <v>43039.8</v>
      </c>
      <c r="H854" t="s">
        <v>100</v>
      </c>
      <c r="I854">
        <v>56</v>
      </c>
      <c r="J854" t="s">
        <v>42</v>
      </c>
      <c r="K854" t="s">
        <v>36</v>
      </c>
      <c r="L854" t="s">
        <v>732</v>
      </c>
      <c r="M854" t="s">
        <v>52</v>
      </c>
      <c r="N854" t="s">
        <v>44</v>
      </c>
      <c r="O854">
        <v>4.8899999999999997</v>
      </c>
      <c r="P854">
        <v>46029.8</v>
      </c>
      <c r="Q854">
        <v>6</v>
      </c>
      <c r="R854">
        <v>833</v>
      </c>
      <c r="S854">
        <v>12232.31</v>
      </c>
      <c r="T854" t="s">
        <v>63</v>
      </c>
    </row>
    <row r="855" spans="1:20" x14ac:dyDescent="0.35">
      <c r="A855" t="s">
        <v>3112</v>
      </c>
      <c r="B855" t="s">
        <v>3113</v>
      </c>
      <c r="C855" t="s">
        <v>3114</v>
      </c>
      <c r="D855">
        <v>44740</v>
      </c>
      <c r="E855" t="s">
        <v>71</v>
      </c>
      <c r="F855">
        <v>6684.95</v>
      </c>
      <c r="G855">
        <v>36826.71</v>
      </c>
      <c r="H855" t="s">
        <v>125</v>
      </c>
      <c r="I855">
        <v>41</v>
      </c>
      <c r="J855" t="s">
        <v>25</v>
      </c>
      <c r="K855" t="s">
        <v>26</v>
      </c>
      <c r="L855" t="s">
        <v>465</v>
      </c>
      <c r="M855" t="s">
        <v>38</v>
      </c>
      <c r="N855" t="s">
        <v>62</v>
      </c>
      <c r="O855">
        <v>1.06</v>
      </c>
      <c r="P855">
        <v>47712.67</v>
      </c>
      <c r="Q855">
        <v>7</v>
      </c>
      <c r="R855">
        <v>776</v>
      </c>
      <c r="S855">
        <v>14521.63</v>
      </c>
      <c r="T855" t="s">
        <v>30</v>
      </c>
    </row>
    <row r="856" spans="1:20" x14ac:dyDescent="0.35">
      <c r="A856" t="s">
        <v>3115</v>
      </c>
      <c r="B856" t="s">
        <v>3116</v>
      </c>
      <c r="C856" t="s">
        <v>3117</v>
      </c>
      <c r="D856">
        <v>44630</v>
      </c>
      <c r="E856" t="s">
        <v>71</v>
      </c>
      <c r="F856">
        <v>1657.53</v>
      </c>
      <c r="G856">
        <v>47391.05</v>
      </c>
      <c r="H856" t="s">
        <v>100</v>
      </c>
      <c r="I856">
        <v>34</v>
      </c>
      <c r="J856" t="s">
        <v>25</v>
      </c>
      <c r="K856" t="s">
        <v>36</v>
      </c>
      <c r="L856" t="s">
        <v>516</v>
      </c>
      <c r="M856" t="s">
        <v>28</v>
      </c>
      <c r="N856" t="s">
        <v>44</v>
      </c>
      <c r="O856">
        <v>3.41</v>
      </c>
      <c r="Q856">
        <v>1</v>
      </c>
      <c r="R856">
        <v>697</v>
      </c>
      <c r="S856">
        <v>11194.52</v>
      </c>
      <c r="T856" t="s">
        <v>45</v>
      </c>
    </row>
    <row r="857" spans="1:20" x14ac:dyDescent="0.35">
      <c r="A857" t="s">
        <v>3118</v>
      </c>
      <c r="B857" t="s">
        <v>3119</v>
      </c>
      <c r="C857" t="s">
        <v>3120</v>
      </c>
      <c r="D857">
        <v>45021</v>
      </c>
      <c r="E857" t="s">
        <v>34</v>
      </c>
      <c r="F857">
        <v>1276.8599999999999</v>
      </c>
      <c r="G857">
        <v>39299.160000000003</v>
      </c>
      <c r="H857" t="s">
        <v>125</v>
      </c>
      <c r="I857">
        <v>69</v>
      </c>
      <c r="J857" t="s">
        <v>25</v>
      </c>
      <c r="K857" t="s">
        <v>36</v>
      </c>
      <c r="L857" t="s">
        <v>917</v>
      </c>
      <c r="M857" t="s">
        <v>38</v>
      </c>
      <c r="N857" t="s">
        <v>44</v>
      </c>
      <c r="O857">
        <v>3.25</v>
      </c>
      <c r="Q857">
        <v>6</v>
      </c>
      <c r="R857">
        <v>795</v>
      </c>
      <c r="S857">
        <v>3036.92</v>
      </c>
      <c r="T857" t="s">
        <v>30</v>
      </c>
    </row>
    <row r="858" spans="1:20" x14ac:dyDescent="0.35">
      <c r="A858" t="s">
        <v>3121</v>
      </c>
      <c r="B858" t="s">
        <v>3122</v>
      </c>
      <c r="C858" t="s">
        <v>3123</v>
      </c>
      <c r="D858">
        <v>44835</v>
      </c>
      <c r="E858" t="s">
        <v>71</v>
      </c>
      <c r="F858">
        <v>7670.72</v>
      </c>
      <c r="G858">
        <v>16371.62</v>
      </c>
      <c r="H858" t="s">
        <v>35</v>
      </c>
      <c r="I858">
        <v>23</v>
      </c>
      <c r="J858" t="s">
        <v>25</v>
      </c>
      <c r="K858" t="s">
        <v>36</v>
      </c>
      <c r="L858" t="s">
        <v>3124</v>
      </c>
      <c r="M858" t="s">
        <v>38</v>
      </c>
      <c r="N858" t="s">
        <v>29</v>
      </c>
      <c r="O858">
        <v>1.54</v>
      </c>
      <c r="R858">
        <v>519</v>
      </c>
      <c r="S858">
        <v>7224.96</v>
      </c>
      <c r="T858" t="s">
        <v>63</v>
      </c>
    </row>
    <row r="859" spans="1:20" x14ac:dyDescent="0.35">
      <c r="A859" t="s">
        <v>3125</v>
      </c>
      <c r="B859" t="s">
        <v>3126</v>
      </c>
      <c r="C859" t="s">
        <v>3127</v>
      </c>
      <c r="D859">
        <v>44878</v>
      </c>
      <c r="E859" t="s">
        <v>23</v>
      </c>
      <c r="F859">
        <v>6743.45</v>
      </c>
      <c r="G859">
        <v>13145.79</v>
      </c>
      <c r="H859" t="s">
        <v>35</v>
      </c>
      <c r="I859">
        <v>36</v>
      </c>
      <c r="J859" t="s">
        <v>42</v>
      </c>
      <c r="K859" t="s">
        <v>36</v>
      </c>
      <c r="L859" t="s">
        <v>3128</v>
      </c>
      <c r="M859" t="s">
        <v>52</v>
      </c>
      <c r="N859" t="s">
        <v>44</v>
      </c>
      <c r="O859">
        <v>1.6</v>
      </c>
      <c r="R859">
        <v>472</v>
      </c>
      <c r="S859">
        <v>10405.76</v>
      </c>
      <c r="T859" t="s">
        <v>45</v>
      </c>
    </row>
    <row r="860" spans="1:20" x14ac:dyDescent="0.35">
      <c r="A860" t="s">
        <v>3129</v>
      </c>
      <c r="B860" t="s">
        <v>3130</v>
      </c>
      <c r="C860" t="s">
        <v>3131</v>
      </c>
      <c r="D860">
        <v>44574</v>
      </c>
      <c r="E860" t="s">
        <v>56</v>
      </c>
      <c r="F860">
        <v>4409.71</v>
      </c>
      <c r="G860">
        <v>35188.1</v>
      </c>
      <c r="H860" t="s">
        <v>24</v>
      </c>
      <c r="I860">
        <v>22</v>
      </c>
      <c r="J860" t="s">
        <v>42</v>
      </c>
      <c r="K860" t="s">
        <v>26</v>
      </c>
      <c r="L860" t="s">
        <v>2035</v>
      </c>
      <c r="M860" t="s">
        <v>52</v>
      </c>
      <c r="N860" t="s">
        <v>44</v>
      </c>
      <c r="O860">
        <v>4.17</v>
      </c>
      <c r="P860">
        <v>20753.21</v>
      </c>
      <c r="Q860">
        <v>22</v>
      </c>
      <c r="R860">
        <v>689</v>
      </c>
      <c r="S860">
        <v>6559.34</v>
      </c>
      <c r="T860" t="s">
        <v>45</v>
      </c>
    </row>
    <row r="861" spans="1:20" x14ac:dyDescent="0.35">
      <c r="A861" t="s">
        <v>3132</v>
      </c>
      <c r="B861" t="s">
        <v>3133</v>
      </c>
      <c r="C861" t="s">
        <v>3134</v>
      </c>
      <c r="D861">
        <v>44588</v>
      </c>
      <c r="E861" t="s">
        <v>34</v>
      </c>
      <c r="F861">
        <v>5538.17</v>
      </c>
      <c r="G861">
        <v>18841.53</v>
      </c>
      <c r="H861" t="s">
        <v>125</v>
      </c>
      <c r="I861">
        <v>49</v>
      </c>
      <c r="J861" t="s">
        <v>42</v>
      </c>
      <c r="K861" t="s">
        <v>50</v>
      </c>
      <c r="L861" t="s">
        <v>3135</v>
      </c>
      <c r="M861" t="s">
        <v>52</v>
      </c>
      <c r="N861" t="s">
        <v>29</v>
      </c>
      <c r="O861">
        <v>4.55</v>
      </c>
      <c r="Q861">
        <v>19</v>
      </c>
      <c r="R861">
        <v>801</v>
      </c>
      <c r="S861">
        <v>5553.99</v>
      </c>
      <c r="T861" t="s">
        <v>30</v>
      </c>
    </row>
    <row r="862" spans="1:20" x14ac:dyDescent="0.35">
      <c r="A862" t="s">
        <v>3136</v>
      </c>
      <c r="B862" t="s">
        <v>3137</v>
      </c>
      <c r="C862" t="s">
        <v>3138</v>
      </c>
      <c r="D862">
        <v>44922</v>
      </c>
      <c r="E862" t="s">
        <v>71</v>
      </c>
      <c r="F862">
        <v>3188.64</v>
      </c>
      <c r="G862">
        <v>28744.54</v>
      </c>
      <c r="H862" t="s">
        <v>35</v>
      </c>
      <c r="I862">
        <v>27</v>
      </c>
      <c r="J862" t="s">
        <v>25</v>
      </c>
      <c r="K862" t="s">
        <v>50</v>
      </c>
      <c r="L862" t="s">
        <v>2273</v>
      </c>
      <c r="M862" t="s">
        <v>28</v>
      </c>
      <c r="N862" t="s">
        <v>29</v>
      </c>
      <c r="O862">
        <v>2.13</v>
      </c>
      <c r="P862">
        <v>29611.23</v>
      </c>
      <c r="R862">
        <v>559</v>
      </c>
      <c r="S862">
        <v>9506.19</v>
      </c>
      <c r="T862" t="s">
        <v>45</v>
      </c>
    </row>
    <row r="863" spans="1:20" x14ac:dyDescent="0.35">
      <c r="A863" t="s">
        <v>3139</v>
      </c>
      <c r="B863" t="s">
        <v>3140</v>
      </c>
      <c r="C863" t="s">
        <v>3141</v>
      </c>
      <c r="D863">
        <v>44655</v>
      </c>
      <c r="E863" t="s">
        <v>56</v>
      </c>
      <c r="F863">
        <v>4876.75</v>
      </c>
      <c r="G863">
        <v>1306.6199999999999</v>
      </c>
      <c r="H863" t="s">
        <v>49</v>
      </c>
      <c r="I863">
        <v>26</v>
      </c>
      <c r="J863" t="s">
        <v>42</v>
      </c>
      <c r="K863" t="s">
        <v>50</v>
      </c>
      <c r="L863" t="s">
        <v>3142</v>
      </c>
      <c r="M863" t="s">
        <v>38</v>
      </c>
      <c r="N863" t="s">
        <v>29</v>
      </c>
      <c r="O863">
        <v>2.75</v>
      </c>
      <c r="R863">
        <v>430</v>
      </c>
      <c r="S863">
        <v>14135.52</v>
      </c>
      <c r="T863" t="s">
        <v>30</v>
      </c>
    </row>
    <row r="864" spans="1:20" x14ac:dyDescent="0.35">
      <c r="A864" t="s">
        <v>3143</v>
      </c>
      <c r="B864" t="s">
        <v>3144</v>
      </c>
      <c r="C864" t="s">
        <v>3145</v>
      </c>
      <c r="D864">
        <v>44584</v>
      </c>
      <c r="E864" t="s">
        <v>34</v>
      </c>
      <c r="F864">
        <v>5116.0600000000004</v>
      </c>
      <c r="G864">
        <v>4032.4</v>
      </c>
      <c r="H864" t="s">
        <v>24</v>
      </c>
      <c r="I864">
        <v>44</v>
      </c>
      <c r="J864" t="s">
        <v>25</v>
      </c>
      <c r="K864" t="s">
        <v>26</v>
      </c>
      <c r="L864" t="s">
        <v>773</v>
      </c>
      <c r="M864" t="s">
        <v>28</v>
      </c>
      <c r="N864" t="s">
        <v>29</v>
      </c>
      <c r="O864">
        <v>2.42</v>
      </c>
      <c r="Q864">
        <v>9</v>
      </c>
      <c r="R864">
        <v>412</v>
      </c>
      <c r="S864">
        <v>2454.7600000000002</v>
      </c>
      <c r="T864" t="s">
        <v>30</v>
      </c>
    </row>
    <row r="865" spans="1:20" x14ac:dyDescent="0.35">
      <c r="A865" t="s">
        <v>3146</v>
      </c>
      <c r="B865" t="s">
        <v>3147</v>
      </c>
      <c r="C865" t="s">
        <v>3148</v>
      </c>
      <c r="D865">
        <v>45156</v>
      </c>
      <c r="E865" t="s">
        <v>56</v>
      </c>
      <c r="F865">
        <v>3933.65</v>
      </c>
      <c r="G865">
        <v>27233.03</v>
      </c>
      <c r="H865" t="s">
        <v>100</v>
      </c>
      <c r="I865">
        <v>30</v>
      </c>
      <c r="J865" t="s">
        <v>42</v>
      </c>
      <c r="K865" t="s">
        <v>50</v>
      </c>
      <c r="L865" t="s">
        <v>3149</v>
      </c>
      <c r="M865" t="s">
        <v>28</v>
      </c>
      <c r="N865" t="s">
        <v>62</v>
      </c>
      <c r="O865">
        <v>1.29</v>
      </c>
      <c r="R865">
        <v>319</v>
      </c>
      <c r="S865">
        <v>12000.01</v>
      </c>
      <c r="T865" t="s">
        <v>63</v>
      </c>
    </row>
    <row r="866" spans="1:20" x14ac:dyDescent="0.35">
      <c r="A866" t="s">
        <v>3150</v>
      </c>
      <c r="B866" t="s">
        <v>3151</v>
      </c>
      <c r="C866" t="s">
        <v>3152</v>
      </c>
      <c r="D866">
        <v>44627</v>
      </c>
      <c r="E866" t="s">
        <v>71</v>
      </c>
      <c r="F866">
        <v>9075.06</v>
      </c>
      <c r="G866">
        <v>28737.51</v>
      </c>
      <c r="H866" t="s">
        <v>24</v>
      </c>
      <c r="I866">
        <v>36</v>
      </c>
      <c r="J866" t="s">
        <v>42</v>
      </c>
      <c r="K866" t="s">
        <v>26</v>
      </c>
      <c r="L866" t="s">
        <v>1365</v>
      </c>
      <c r="M866" t="s">
        <v>52</v>
      </c>
      <c r="N866" t="s">
        <v>62</v>
      </c>
      <c r="O866">
        <v>3.69</v>
      </c>
      <c r="P866">
        <v>46658.33</v>
      </c>
      <c r="R866">
        <v>514</v>
      </c>
      <c r="S866">
        <v>11395.45</v>
      </c>
      <c r="T866" t="s">
        <v>45</v>
      </c>
    </row>
    <row r="867" spans="1:20" x14ac:dyDescent="0.35">
      <c r="A867" t="s">
        <v>3153</v>
      </c>
      <c r="B867" t="s">
        <v>3154</v>
      </c>
      <c r="C867" t="s">
        <v>3155</v>
      </c>
      <c r="D867">
        <v>44737</v>
      </c>
      <c r="E867" t="s">
        <v>71</v>
      </c>
      <c r="F867">
        <v>259.01</v>
      </c>
      <c r="G867">
        <v>37821.19</v>
      </c>
      <c r="H867" t="s">
        <v>49</v>
      </c>
      <c r="I867">
        <v>38</v>
      </c>
      <c r="J867" t="s">
        <v>42</v>
      </c>
      <c r="K867" t="s">
        <v>26</v>
      </c>
      <c r="L867" t="s">
        <v>725</v>
      </c>
      <c r="M867" t="s">
        <v>38</v>
      </c>
      <c r="N867" t="s">
        <v>62</v>
      </c>
      <c r="O867">
        <v>4.3</v>
      </c>
      <c r="Q867">
        <v>12</v>
      </c>
      <c r="R867">
        <v>609</v>
      </c>
      <c r="S867">
        <v>14531.39</v>
      </c>
      <c r="T867" t="s">
        <v>30</v>
      </c>
    </row>
    <row r="868" spans="1:20" x14ac:dyDescent="0.35">
      <c r="A868" t="s">
        <v>3156</v>
      </c>
      <c r="B868" t="s">
        <v>3157</v>
      </c>
      <c r="C868" t="s">
        <v>3158</v>
      </c>
      <c r="D868">
        <v>44830</v>
      </c>
      <c r="E868" t="s">
        <v>23</v>
      </c>
      <c r="F868">
        <v>7843.5</v>
      </c>
      <c r="G868">
        <v>7466.3</v>
      </c>
      <c r="H868" t="s">
        <v>125</v>
      </c>
      <c r="I868">
        <v>41</v>
      </c>
      <c r="J868" t="s">
        <v>42</v>
      </c>
      <c r="K868" t="s">
        <v>26</v>
      </c>
      <c r="L868" t="s">
        <v>3159</v>
      </c>
      <c r="M868" t="s">
        <v>38</v>
      </c>
      <c r="N868" t="s">
        <v>44</v>
      </c>
      <c r="O868">
        <v>2.2200000000000002</v>
      </c>
      <c r="P868">
        <v>23348.31</v>
      </c>
      <c r="R868">
        <v>550</v>
      </c>
      <c r="S868">
        <v>14099.25</v>
      </c>
      <c r="T868" t="s">
        <v>30</v>
      </c>
    </row>
    <row r="869" spans="1:20" x14ac:dyDescent="0.35">
      <c r="A869" t="s">
        <v>3160</v>
      </c>
      <c r="B869" t="s">
        <v>3161</v>
      </c>
      <c r="C869" t="s">
        <v>3162</v>
      </c>
      <c r="D869">
        <v>44837</v>
      </c>
      <c r="E869" t="s">
        <v>71</v>
      </c>
      <c r="F869">
        <v>1331.39</v>
      </c>
      <c r="G869">
        <v>26145.97</v>
      </c>
      <c r="H869" t="s">
        <v>100</v>
      </c>
      <c r="I869">
        <v>55</v>
      </c>
      <c r="J869" t="s">
        <v>42</v>
      </c>
      <c r="K869" t="s">
        <v>50</v>
      </c>
      <c r="L869" t="s">
        <v>276</v>
      </c>
      <c r="M869" t="s">
        <v>52</v>
      </c>
      <c r="N869" t="s">
        <v>29</v>
      </c>
      <c r="O869">
        <v>4.96</v>
      </c>
      <c r="P869">
        <v>42396.63</v>
      </c>
      <c r="R869">
        <v>787</v>
      </c>
      <c r="S869">
        <v>11909.02</v>
      </c>
      <c r="T869" t="s">
        <v>30</v>
      </c>
    </row>
    <row r="870" spans="1:20" x14ac:dyDescent="0.35">
      <c r="A870" t="s">
        <v>3163</v>
      </c>
      <c r="B870" t="s">
        <v>3164</v>
      </c>
      <c r="C870" t="s">
        <v>3165</v>
      </c>
      <c r="D870">
        <v>44668</v>
      </c>
      <c r="E870" t="s">
        <v>71</v>
      </c>
      <c r="F870">
        <v>7995.72</v>
      </c>
      <c r="G870">
        <v>10527.93</v>
      </c>
      <c r="H870" t="s">
        <v>100</v>
      </c>
      <c r="I870">
        <v>21</v>
      </c>
      <c r="J870" t="s">
        <v>25</v>
      </c>
      <c r="K870" t="s">
        <v>50</v>
      </c>
      <c r="L870" t="s">
        <v>101</v>
      </c>
      <c r="M870" t="s">
        <v>38</v>
      </c>
      <c r="N870" t="s">
        <v>29</v>
      </c>
      <c r="O870">
        <v>1.3</v>
      </c>
      <c r="R870">
        <v>681</v>
      </c>
      <c r="S870">
        <v>8765.31</v>
      </c>
      <c r="T870" t="s">
        <v>45</v>
      </c>
    </row>
    <row r="871" spans="1:20" x14ac:dyDescent="0.35">
      <c r="A871" t="s">
        <v>3166</v>
      </c>
      <c r="B871" t="s">
        <v>3167</v>
      </c>
      <c r="C871" t="s">
        <v>3168</v>
      </c>
      <c r="D871">
        <v>45120</v>
      </c>
      <c r="E871" t="s">
        <v>34</v>
      </c>
      <c r="F871">
        <v>6197.53</v>
      </c>
      <c r="G871">
        <v>5566.61</v>
      </c>
      <c r="H871" t="s">
        <v>125</v>
      </c>
      <c r="I871">
        <v>41</v>
      </c>
      <c r="J871" t="s">
        <v>42</v>
      </c>
      <c r="K871" t="s">
        <v>50</v>
      </c>
      <c r="L871" t="s">
        <v>645</v>
      </c>
      <c r="M871" t="s">
        <v>52</v>
      </c>
      <c r="N871" t="s">
        <v>62</v>
      </c>
      <c r="O871">
        <v>3.65</v>
      </c>
      <c r="P871">
        <v>22765.439999999999</v>
      </c>
      <c r="R871">
        <v>708</v>
      </c>
      <c r="S871">
        <v>4655.4799999999996</v>
      </c>
      <c r="T871" t="s">
        <v>45</v>
      </c>
    </row>
    <row r="872" spans="1:20" x14ac:dyDescent="0.35">
      <c r="A872" t="s">
        <v>3169</v>
      </c>
      <c r="B872" t="s">
        <v>3170</v>
      </c>
      <c r="C872" t="s">
        <v>3171</v>
      </c>
      <c r="D872">
        <v>44886</v>
      </c>
      <c r="E872" t="s">
        <v>23</v>
      </c>
      <c r="F872">
        <v>8448.4500000000007</v>
      </c>
      <c r="G872">
        <v>21114.29</v>
      </c>
      <c r="H872" t="s">
        <v>24</v>
      </c>
      <c r="I872">
        <v>52</v>
      </c>
      <c r="J872" t="s">
        <v>25</v>
      </c>
      <c r="K872" t="s">
        <v>36</v>
      </c>
      <c r="L872" t="s">
        <v>2293</v>
      </c>
      <c r="M872" t="s">
        <v>28</v>
      </c>
      <c r="N872" t="s">
        <v>44</v>
      </c>
      <c r="O872">
        <v>2.79</v>
      </c>
      <c r="P872">
        <v>38487.69</v>
      </c>
      <c r="Q872">
        <v>9</v>
      </c>
      <c r="R872">
        <v>570</v>
      </c>
      <c r="S872">
        <v>9088.06</v>
      </c>
      <c r="T872" t="s">
        <v>45</v>
      </c>
    </row>
    <row r="873" spans="1:20" x14ac:dyDescent="0.35">
      <c r="A873" t="s">
        <v>3172</v>
      </c>
      <c r="B873" t="s">
        <v>3173</v>
      </c>
      <c r="C873" t="s">
        <v>3174</v>
      </c>
      <c r="D873">
        <v>44646</v>
      </c>
      <c r="E873" t="s">
        <v>34</v>
      </c>
      <c r="F873">
        <v>1065.3900000000001</v>
      </c>
      <c r="G873">
        <v>9003.5</v>
      </c>
      <c r="H873" t="s">
        <v>35</v>
      </c>
      <c r="I873">
        <v>20</v>
      </c>
      <c r="J873" t="s">
        <v>25</v>
      </c>
      <c r="K873" t="s">
        <v>26</v>
      </c>
      <c r="L873" t="s">
        <v>3175</v>
      </c>
      <c r="M873" t="s">
        <v>28</v>
      </c>
      <c r="N873" t="s">
        <v>44</v>
      </c>
      <c r="O873">
        <v>2.79</v>
      </c>
      <c r="P873">
        <v>45367.13</v>
      </c>
      <c r="R873">
        <v>706</v>
      </c>
      <c r="S873">
        <v>11949.58</v>
      </c>
      <c r="T873" t="s">
        <v>30</v>
      </c>
    </row>
    <row r="874" spans="1:20" x14ac:dyDescent="0.35">
      <c r="A874" t="s">
        <v>3176</v>
      </c>
      <c r="B874" t="s">
        <v>3177</v>
      </c>
      <c r="C874" t="s">
        <v>3178</v>
      </c>
      <c r="D874">
        <v>45143</v>
      </c>
      <c r="E874" t="s">
        <v>56</v>
      </c>
      <c r="F874">
        <v>5633.91</v>
      </c>
      <c r="G874">
        <v>11867.32</v>
      </c>
      <c r="H874" t="s">
        <v>24</v>
      </c>
      <c r="I874">
        <v>21</v>
      </c>
      <c r="J874" t="s">
        <v>25</v>
      </c>
      <c r="K874" t="s">
        <v>36</v>
      </c>
      <c r="L874" t="s">
        <v>3179</v>
      </c>
      <c r="M874" t="s">
        <v>52</v>
      </c>
      <c r="N874" t="s">
        <v>44</v>
      </c>
      <c r="O874">
        <v>2.83</v>
      </c>
      <c r="R874">
        <v>493</v>
      </c>
      <c r="S874">
        <v>13643.7</v>
      </c>
      <c r="T874" t="s">
        <v>45</v>
      </c>
    </row>
    <row r="875" spans="1:20" x14ac:dyDescent="0.35">
      <c r="A875" t="s">
        <v>3180</v>
      </c>
      <c r="B875" t="s">
        <v>3181</v>
      </c>
      <c r="C875" t="s">
        <v>3182</v>
      </c>
      <c r="D875">
        <v>44616</v>
      </c>
      <c r="E875" t="s">
        <v>71</v>
      </c>
      <c r="F875">
        <v>5060.7700000000004</v>
      </c>
      <c r="G875">
        <v>16560.169999999998</v>
      </c>
      <c r="H875" t="s">
        <v>49</v>
      </c>
      <c r="I875">
        <v>54</v>
      </c>
      <c r="J875" t="s">
        <v>25</v>
      </c>
      <c r="K875" t="s">
        <v>26</v>
      </c>
      <c r="L875" t="s">
        <v>3183</v>
      </c>
      <c r="M875" t="s">
        <v>28</v>
      </c>
      <c r="N875" t="s">
        <v>62</v>
      </c>
      <c r="O875">
        <v>2.0299999999999998</v>
      </c>
      <c r="P875">
        <v>22048.23</v>
      </c>
      <c r="Q875">
        <v>22</v>
      </c>
      <c r="R875">
        <v>740</v>
      </c>
      <c r="S875">
        <v>12266.26</v>
      </c>
      <c r="T875" t="s">
        <v>30</v>
      </c>
    </row>
    <row r="876" spans="1:20" x14ac:dyDescent="0.35">
      <c r="A876" t="s">
        <v>3184</v>
      </c>
      <c r="B876" t="s">
        <v>3185</v>
      </c>
      <c r="C876" t="s">
        <v>3186</v>
      </c>
      <c r="D876">
        <v>45131</v>
      </c>
      <c r="E876" t="s">
        <v>56</v>
      </c>
      <c r="F876">
        <v>7091.31</v>
      </c>
      <c r="G876">
        <v>13710.03</v>
      </c>
      <c r="H876" t="s">
        <v>35</v>
      </c>
      <c r="I876">
        <v>57</v>
      </c>
      <c r="J876" t="s">
        <v>25</v>
      </c>
      <c r="K876" t="s">
        <v>50</v>
      </c>
      <c r="L876" t="s">
        <v>3187</v>
      </c>
      <c r="M876" t="s">
        <v>28</v>
      </c>
      <c r="N876" t="s">
        <v>44</v>
      </c>
      <c r="O876">
        <v>3.86</v>
      </c>
      <c r="P876">
        <v>12810.23</v>
      </c>
      <c r="R876">
        <v>612</v>
      </c>
      <c r="S876">
        <v>4538.47</v>
      </c>
      <c r="T876" t="s">
        <v>45</v>
      </c>
    </row>
    <row r="877" spans="1:20" x14ac:dyDescent="0.35">
      <c r="A877" t="s">
        <v>3188</v>
      </c>
      <c r="B877" t="s">
        <v>3189</v>
      </c>
      <c r="C877" t="s">
        <v>3190</v>
      </c>
      <c r="D877">
        <v>44576</v>
      </c>
      <c r="E877" t="s">
        <v>34</v>
      </c>
      <c r="F877">
        <v>5389.48</v>
      </c>
      <c r="G877">
        <v>5291.97</v>
      </c>
      <c r="H877" t="s">
        <v>24</v>
      </c>
      <c r="I877">
        <v>65</v>
      </c>
      <c r="J877" t="s">
        <v>25</v>
      </c>
      <c r="K877" t="s">
        <v>26</v>
      </c>
      <c r="L877" t="s">
        <v>3191</v>
      </c>
      <c r="M877" t="s">
        <v>52</v>
      </c>
      <c r="N877" t="s">
        <v>44</v>
      </c>
      <c r="O877">
        <v>3.89</v>
      </c>
      <c r="Q877">
        <v>17</v>
      </c>
      <c r="R877">
        <v>378</v>
      </c>
      <c r="S877">
        <v>9795.92</v>
      </c>
      <c r="T877" t="s">
        <v>45</v>
      </c>
    </row>
    <row r="878" spans="1:20" x14ac:dyDescent="0.35">
      <c r="A878" t="s">
        <v>3192</v>
      </c>
      <c r="B878" t="s">
        <v>3193</v>
      </c>
      <c r="C878" t="s">
        <v>3194</v>
      </c>
      <c r="D878">
        <v>44578</v>
      </c>
      <c r="E878" t="s">
        <v>71</v>
      </c>
      <c r="F878">
        <v>5453.27</v>
      </c>
      <c r="G878">
        <v>5405.9</v>
      </c>
      <c r="H878" t="s">
        <v>125</v>
      </c>
      <c r="I878">
        <v>52</v>
      </c>
      <c r="J878" t="s">
        <v>25</v>
      </c>
      <c r="K878" t="s">
        <v>26</v>
      </c>
      <c r="L878" t="s">
        <v>516</v>
      </c>
      <c r="M878" t="s">
        <v>28</v>
      </c>
      <c r="N878" t="s">
        <v>44</v>
      </c>
      <c r="O878">
        <v>2.13</v>
      </c>
      <c r="Q878">
        <v>7</v>
      </c>
      <c r="R878">
        <v>479</v>
      </c>
      <c r="S878">
        <v>6318.25</v>
      </c>
      <c r="T878" t="s">
        <v>30</v>
      </c>
    </row>
    <row r="879" spans="1:20" x14ac:dyDescent="0.35">
      <c r="A879" t="s">
        <v>3195</v>
      </c>
      <c r="B879" t="s">
        <v>3196</v>
      </c>
      <c r="C879" t="s">
        <v>3197</v>
      </c>
      <c r="D879">
        <v>45080</v>
      </c>
      <c r="E879" t="s">
        <v>71</v>
      </c>
      <c r="F879">
        <v>4353</v>
      </c>
      <c r="G879">
        <v>10469.219999999999</v>
      </c>
      <c r="H879" t="s">
        <v>49</v>
      </c>
      <c r="I879">
        <v>48</v>
      </c>
      <c r="J879" t="s">
        <v>25</v>
      </c>
      <c r="K879" t="s">
        <v>36</v>
      </c>
      <c r="L879" t="s">
        <v>3198</v>
      </c>
      <c r="M879" t="s">
        <v>38</v>
      </c>
      <c r="N879" t="s">
        <v>29</v>
      </c>
      <c r="O879">
        <v>4.34</v>
      </c>
      <c r="P879">
        <v>37475.980000000003</v>
      </c>
      <c r="R879">
        <v>313</v>
      </c>
      <c r="S879">
        <v>2119.67</v>
      </c>
      <c r="T879" t="s">
        <v>45</v>
      </c>
    </row>
    <row r="880" spans="1:20" x14ac:dyDescent="0.35">
      <c r="A880" t="s">
        <v>3199</v>
      </c>
      <c r="B880" t="s">
        <v>3200</v>
      </c>
      <c r="C880" t="s">
        <v>3201</v>
      </c>
      <c r="D880">
        <v>44943</v>
      </c>
      <c r="E880" t="s">
        <v>34</v>
      </c>
      <c r="F880">
        <v>3157.46</v>
      </c>
      <c r="G880">
        <v>3477.4</v>
      </c>
      <c r="H880" t="s">
        <v>49</v>
      </c>
      <c r="I880">
        <v>61</v>
      </c>
      <c r="J880" t="s">
        <v>42</v>
      </c>
      <c r="K880" t="s">
        <v>26</v>
      </c>
      <c r="L880" t="s">
        <v>1418</v>
      </c>
      <c r="M880" t="s">
        <v>28</v>
      </c>
      <c r="N880" t="s">
        <v>62</v>
      </c>
      <c r="O880">
        <v>2.27</v>
      </c>
      <c r="P880">
        <v>11322.38</v>
      </c>
      <c r="R880">
        <v>545</v>
      </c>
      <c r="S880">
        <v>4602.87</v>
      </c>
      <c r="T880" t="s">
        <v>30</v>
      </c>
    </row>
    <row r="881" spans="1:20" x14ac:dyDescent="0.35">
      <c r="A881" t="s">
        <v>3202</v>
      </c>
      <c r="B881" t="s">
        <v>3203</v>
      </c>
      <c r="C881" t="s">
        <v>3204</v>
      </c>
      <c r="D881">
        <v>44980</v>
      </c>
      <c r="E881" t="s">
        <v>34</v>
      </c>
      <c r="F881">
        <v>4874.42</v>
      </c>
      <c r="G881">
        <v>31696.39</v>
      </c>
      <c r="H881" t="s">
        <v>49</v>
      </c>
      <c r="I881">
        <v>42</v>
      </c>
      <c r="J881" t="s">
        <v>42</v>
      </c>
      <c r="K881" t="s">
        <v>50</v>
      </c>
      <c r="L881" t="s">
        <v>438</v>
      </c>
      <c r="M881" t="s">
        <v>52</v>
      </c>
      <c r="N881" t="s">
        <v>29</v>
      </c>
      <c r="O881">
        <v>3.9</v>
      </c>
      <c r="P881">
        <v>22522.41</v>
      </c>
      <c r="R881">
        <v>313</v>
      </c>
      <c r="S881">
        <v>3471.87</v>
      </c>
      <c r="T881" t="s">
        <v>45</v>
      </c>
    </row>
    <row r="882" spans="1:20" x14ac:dyDescent="0.35">
      <c r="A882" t="s">
        <v>3205</v>
      </c>
      <c r="B882" t="s">
        <v>3206</v>
      </c>
      <c r="C882" t="s">
        <v>3207</v>
      </c>
      <c r="D882">
        <v>45024</v>
      </c>
      <c r="E882" t="s">
        <v>34</v>
      </c>
      <c r="F882">
        <v>1273.07</v>
      </c>
      <c r="G882">
        <v>15079.01</v>
      </c>
      <c r="H882" t="s">
        <v>35</v>
      </c>
      <c r="I882">
        <v>57</v>
      </c>
      <c r="J882" t="s">
        <v>25</v>
      </c>
      <c r="K882" t="s">
        <v>26</v>
      </c>
      <c r="L882" t="s">
        <v>1803</v>
      </c>
      <c r="M882" t="s">
        <v>38</v>
      </c>
      <c r="N882" t="s">
        <v>29</v>
      </c>
      <c r="O882">
        <v>1.48</v>
      </c>
      <c r="P882">
        <v>23520.01</v>
      </c>
      <c r="R882">
        <v>398</v>
      </c>
      <c r="S882">
        <v>12955.35</v>
      </c>
      <c r="T882" t="s">
        <v>45</v>
      </c>
    </row>
    <row r="883" spans="1:20" x14ac:dyDescent="0.35">
      <c r="A883" t="s">
        <v>3208</v>
      </c>
      <c r="B883" t="s">
        <v>3209</v>
      </c>
      <c r="C883" t="s">
        <v>3210</v>
      </c>
      <c r="D883">
        <v>44817</v>
      </c>
      <c r="E883" t="s">
        <v>34</v>
      </c>
      <c r="F883">
        <v>9618.98</v>
      </c>
      <c r="G883">
        <v>14707.55</v>
      </c>
      <c r="H883" t="s">
        <v>100</v>
      </c>
      <c r="I883">
        <v>30</v>
      </c>
      <c r="J883" t="s">
        <v>25</v>
      </c>
      <c r="K883" t="s">
        <v>26</v>
      </c>
      <c r="L883" t="s">
        <v>493</v>
      </c>
      <c r="M883" t="s">
        <v>38</v>
      </c>
      <c r="N883" t="s">
        <v>62</v>
      </c>
      <c r="O883">
        <v>1.67</v>
      </c>
      <c r="R883">
        <v>332</v>
      </c>
      <c r="S883">
        <v>5360.58</v>
      </c>
      <c r="T883" t="s">
        <v>45</v>
      </c>
    </row>
    <row r="884" spans="1:20" x14ac:dyDescent="0.35">
      <c r="A884" t="s">
        <v>3211</v>
      </c>
      <c r="B884" t="s">
        <v>3212</v>
      </c>
      <c r="C884" t="s">
        <v>3213</v>
      </c>
      <c r="D884">
        <v>45108</v>
      </c>
      <c r="E884" t="s">
        <v>34</v>
      </c>
      <c r="F884">
        <v>7172.67</v>
      </c>
      <c r="G884">
        <v>17267.919999999998</v>
      </c>
      <c r="H884" t="s">
        <v>35</v>
      </c>
      <c r="I884">
        <v>21</v>
      </c>
      <c r="J884" t="s">
        <v>25</v>
      </c>
      <c r="K884" t="s">
        <v>26</v>
      </c>
      <c r="L884" t="s">
        <v>1268</v>
      </c>
      <c r="M884" t="s">
        <v>28</v>
      </c>
      <c r="N884" t="s">
        <v>29</v>
      </c>
      <c r="O884">
        <v>2.2599999999999998</v>
      </c>
      <c r="Q884">
        <v>3</v>
      </c>
      <c r="R884">
        <v>735</v>
      </c>
      <c r="S884">
        <v>5701.07</v>
      </c>
      <c r="T884" t="s">
        <v>45</v>
      </c>
    </row>
    <row r="885" spans="1:20" x14ac:dyDescent="0.35">
      <c r="A885" t="s">
        <v>3214</v>
      </c>
      <c r="B885" t="s">
        <v>3215</v>
      </c>
      <c r="C885" t="s">
        <v>3216</v>
      </c>
      <c r="D885">
        <v>44628</v>
      </c>
      <c r="E885" t="s">
        <v>71</v>
      </c>
      <c r="F885">
        <v>9529.42</v>
      </c>
      <c r="G885">
        <v>33477.019999999997</v>
      </c>
      <c r="H885" t="s">
        <v>24</v>
      </c>
      <c r="I885">
        <v>63</v>
      </c>
      <c r="J885" t="s">
        <v>42</v>
      </c>
      <c r="K885" t="s">
        <v>36</v>
      </c>
      <c r="L885" t="s">
        <v>929</v>
      </c>
      <c r="M885" t="s">
        <v>38</v>
      </c>
      <c r="N885" t="s">
        <v>44</v>
      </c>
      <c r="O885">
        <v>3.38</v>
      </c>
      <c r="P885">
        <v>5120.07</v>
      </c>
      <c r="R885">
        <v>556</v>
      </c>
      <c r="S885">
        <v>14479.18</v>
      </c>
      <c r="T885" t="s">
        <v>63</v>
      </c>
    </row>
    <row r="886" spans="1:20" x14ac:dyDescent="0.35">
      <c r="A886" t="s">
        <v>3217</v>
      </c>
      <c r="B886" t="s">
        <v>3218</v>
      </c>
      <c r="C886" t="s">
        <v>3219</v>
      </c>
      <c r="D886">
        <v>44935</v>
      </c>
      <c r="E886" t="s">
        <v>34</v>
      </c>
      <c r="F886">
        <v>2344.6</v>
      </c>
      <c r="G886">
        <v>43661.06</v>
      </c>
      <c r="H886" t="s">
        <v>100</v>
      </c>
      <c r="I886">
        <v>31</v>
      </c>
      <c r="J886" t="s">
        <v>42</v>
      </c>
      <c r="K886" t="s">
        <v>26</v>
      </c>
      <c r="L886" t="s">
        <v>3220</v>
      </c>
      <c r="M886" t="s">
        <v>52</v>
      </c>
      <c r="N886" t="s">
        <v>44</v>
      </c>
      <c r="O886">
        <v>3.58</v>
      </c>
      <c r="Q886">
        <v>28</v>
      </c>
      <c r="R886">
        <v>333</v>
      </c>
      <c r="S886">
        <v>6928.13</v>
      </c>
      <c r="T886" t="s">
        <v>30</v>
      </c>
    </row>
    <row r="887" spans="1:20" x14ac:dyDescent="0.35">
      <c r="A887" t="s">
        <v>3221</v>
      </c>
      <c r="B887" t="s">
        <v>3222</v>
      </c>
      <c r="C887" t="s">
        <v>3223</v>
      </c>
      <c r="D887">
        <v>44778</v>
      </c>
      <c r="E887" t="s">
        <v>71</v>
      </c>
      <c r="F887">
        <v>8805.48</v>
      </c>
      <c r="G887">
        <v>38195.26</v>
      </c>
      <c r="H887" t="s">
        <v>24</v>
      </c>
      <c r="I887">
        <v>30</v>
      </c>
      <c r="J887" t="s">
        <v>25</v>
      </c>
      <c r="K887" t="s">
        <v>26</v>
      </c>
      <c r="L887" t="s">
        <v>391</v>
      </c>
      <c r="M887" t="s">
        <v>38</v>
      </c>
      <c r="N887" t="s">
        <v>44</v>
      </c>
      <c r="O887">
        <v>2.59</v>
      </c>
      <c r="P887">
        <v>44772.32</v>
      </c>
      <c r="R887">
        <v>318</v>
      </c>
      <c r="S887">
        <v>2124.61</v>
      </c>
      <c r="T887" t="s">
        <v>63</v>
      </c>
    </row>
    <row r="888" spans="1:20" x14ac:dyDescent="0.35">
      <c r="A888" t="s">
        <v>3224</v>
      </c>
      <c r="B888" t="s">
        <v>3225</v>
      </c>
      <c r="C888" t="s">
        <v>3226</v>
      </c>
      <c r="D888">
        <v>44793</v>
      </c>
      <c r="E888" t="s">
        <v>71</v>
      </c>
      <c r="F888">
        <v>8107.02</v>
      </c>
      <c r="G888">
        <v>36648.93</v>
      </c>
      <c r="H888" t="s">
        <v>100</v>
      </c>
      <c r="I888">
        <v>44</v>
      </c>
      <c r="J888" t="s">
        <v>25</v>
      </c>
      <c r="K888" t="s">
        <v>36</v>
      </c>
      <c r="L888" t="s">
        <v>1040</v>
      </c>
      <c r="M888" t="s">
        <v>28</v>
      </c>
      <c r="N888" t="s">
        <v>44</v>
      </c>
      <c r="O888">
        <v>1.31</v>
      </c>
      <c r="Q888">
        <v>1</v>
      </c>
      <c r="R888">
        <v>559</v>
      </c>
      <c r="S888">
        <v>5690</v>
      </c>
      <c r="T888" t="s">
        <v>45</v>
      </c>
    </row>
    <row r="889" spans="1:20" x14ac:dyDescent="0.35">
      <c r="A889" t="s">
        <v>3227</v>
      </c>
      <c r="B889" t="s">
        <v>3228</v>
      </c>
      <c r="C889" t="s">
        <v>3229</v>
      </c>
      <c r="D889">
        <v>44612</v>
      </c>
      <c r="E889" t="s">
        <v>34</v>
      </c>
      <c r="F889">
        <v>6803.81</v>
      </c>
      <c r="G889">
        <v>24735.17</v>
      </c>
      <c r="H889" t="s">
        <v>35</v>
      </c>
      <c r="I889">
        <v>23</v>
      </c>
      <c r="J889" t="s">
        <v>42</v>
      </c>
      <c r="K889" t="s">
        <v>36</v>
      </c>
      <c r="L889" t="s">
        <v>2593</v>
      </c>
      <c r="M889" t="s">
        <v>28</v>
      </c>
      <c r="N889" t="s">
        <v>62</v>
      </c>
      <c r="O889">
        <v>2.4900000000000002</v>
      </c>
      <c r="R889">
        <v>715</v>
      </c>
      <c r="S889">
        <v>3550.89</v>
      </c>
      <c r="T889" t="s">
        <v>45</v>
      </c>
    </row>
    <row r="890" spans="1:20" x14ac:dyDescent="0.35">
      <c r="A890" t="s">
        <v>3230</v>
      </c>
      <c r="B890" t="s">
        <v>3231</v>
      </c>
      <c r="C890" t="s">
        <v>3232</v>
      </c>
      <c r="D890">
        <v>44593</v>
      </c>
      <c r="E890" t="s">
        <v>34</v>
      </c>
      <c r="F890">
        <v>6287.79</v>
      </c>
      <c r="G890">
        <v>34996.47</v>
      </c>
      <c r="H890" t="s">
        <v>49</v>
      </c>
      <c r="I890">
        <v>34</v>
      </c>
      <c r="J890" t="s">
        <v>42</v>
      </c>
      <c r="K890" t="s">
        <v>36</v>
      </c>
      <c r="L890" t="s">
        <v>1544</v>
      </c>
      <c r="M890" t="s">
        <v>38</v>
      </c>
      <c r="N890" t="s">
        <v>29</v>
      </c>
      <c r="O890">
        <v>3.76</v>
      </c>
      <c r="P890">
        <v>16376.4</v>
      </c>
      <c r="R890">
        <v>436</v>
      </c>
      <c r="S890">
        <v>3336.51</v>
      </c>
      <c r="T890" t="s">
        <v>30</v>
      </c>
    </row>
    <row r="891" spans="1:20" x14ac:dyDescent="0.35">
      <c r="A891" t="s">
        <v>3233</v>
      </c>
      <c r="B891" t="s">
        <v>2810</v>
      </c>
      <c r="C891" t="s">
        <v>3234</v>
      </c>
      <c r="D891">
        <v>44953</v>
      </c>
      <c r="E891" t="s">
        <v>23</v>
      </c>
      <c r="F891">
        <v>3233.84</v>
      </c>
      <c r="G891">
        <v>28085.360000000001</v>
      </c>
      <c r="H891" t="s">
        <v>125</v>
      </c>
      <c r="I891">
        <v>53</v>
      </c>
      <c r="J891" t="s">
        <v>25</v>
      </c>
      <c r="K891" t="s">
        <v>36</v>
      </c>
      <c r="L891" t="s">
        <v>1716</v>
      </c>
      <c r="M891" t="s">
        <v>52</v>
      </c>
      <c r="N891" t="s">
        <v>29</v>
      </c>
      <c r="O891">
        <v>3.68</v>
      </c>
      <c r="P891">
        <v>39144.81</v>
      </c>
      <c r="R891">
        <v>658</v>
      </c>
      <c r="S891">
        <v>3007.33</v>
      </c>
      <c r="T891" t="s">
        <v>30</v>
      </c>
    </row>
    <row r="892" spans="1:20" x14ac:dyDescent="0.35">
      <c r="A892" t="s">
        <v>3235</v>
      </c>
      <c r="B892" t="s">
        <v>3236</v>
      </c>
      <c r="C892" t="s">
        <v>3237</v>
      </c>
      <c r="D892">
        <v>45116</v>
      </c>
      <c r="E892" t="s">
        <v>71</v>
      </c>
      <c r="F892">
        <v>8182.47</v>
      </c>
      <c r="G892">
        <v>11596.28</v>
      </c>
      <c r="H892" t="s">
        <v>49</v>
      </c>
      <c r="I892">
        <v>57</v>
      </c>
      <c r="J892" t="s">
        <v>25</v>
      </c>
      <c r="K892" t="s">
        <v>50</v>
      </c>
      <c r="L892" t="s">
        <v>2287</v>
      </c>
      <c r="M892" t="s">
        <v>52</v>
      </c>
      <c r="N892" t="s">
        <v>44</v>
      </c>
      <c r="O892">
        <v>1.64</v>
      </c>
      <c r="P892">
        <v>30250.39</v>
      </c>
      <c r="R892">
        <v>415</v>
      </c>
      <c r="S892">
        <v>9712.3700000000008</v>
      </c>
      <c r="T892" t="s">
        <v>30</v>
      </c>
    </row>
    <row r="893" spans="1:20" x14ac:dyDescent="0.35">
      <c r="A893" t="s">
        <v>3238</v>
      </c>
      <c r="B893" t="s">
        <v>3239</v>
      </c>
      <c r="C893" t="s">
        <v>3240</v>
      </c>
      <c r="D893">
        <v>45125</v>
      </c>
      <c r="E893" t="s">
        <v>34</v>
      </c>
      <c r="F893">
        <v>5065</v>
      </c>
      <c r="G893">
        <v>11220.83</v>
      </c>
      <c r="H893" t="s">
        <v>35</v>
      </c>
      <c r="I893">
        <v>66</v>
      </c>
      <c r="J893" t="s">
        <v>25</v>
      </c>
      <c r="K893" t="s">
        <v>50</v>
      </c>
      <c r="L893" t="s">
        <v>457</v>
      </c>
      <c r="M893" t="s">
        <v>28</v>
      </c>
      <c r="N893" t="s">
        <v>44</v>
      </c>
      <c r="O893">
        <v>1.03</v>
      </c>
      <c r="P893">
        <v>18510.150000000001</v>
      </c>
      <c r="R893">
        <v>703</v>
      </c>
      <c r="S893">
        <v>4461.5200000000004</v>
      </c>
      <c r="T893" t="s">
        <v>30</v>
      </c>
    </row>
    <row r="894" spans="1:20" x14ac:dyDescent="0.35">
      <c r="A894" t="s">
        <v>3241</v>
      </c>
      <c r="B894" t="s">
        <v>3242</v>
      </c>
      <c r="C894" t="s">
        <v>3243</v>
      </c>
      <c r="D894">
        <v>44839</v>
      </c>
      <c r="E894" t="s">
        <v>34</v>
      </c>
      <c r="F894">
        <v>801.83</v>
      </c>
      <c r="G894">
        <v>15523.21</v>
      </c>
      <c r="H894" t="s">
        <v>100</v>
      </c>
      <c r="I894">
        <v>52</v>
      </c>
      <c r="J894" t="s">
        <v>25</v>
      </c>
      <c r="K894" t="s">
        <v>26</v>
      </c>
      <c r="L894" t="s">
        <v>3220</v>
      </c>
      <c r="M894" t="s">
        <v>28</v>
      </c>
      <c r="N894" t="s">
        <v>29</v>
      </c>
      <c r="O894">
        <v>4.01</v>
      </c>
      <c r="Q894">
        <v>13</v>
      </c>
      <c r="R894">
        <v>501</v>
      </c>
      <c r="S894">
        <v>6696.16</v>
      </c>
      <c r="T894" t="s">
        <v>45</v>
      </c>
    </row>
    <row r="895" spans="1:20" x14ac:dyDescent="0.35">
      <c r="A895" t="s">
        <v>3244</v>
      </c>
      <c r="B895" t="s">
        <v>2161</v>
      </c>
      <c r="C895" t="s">
        <v>3245</v>
      </c>
      <c r="D895">
        <v>44676</v>
      </c>
      <c r="E895" t="s">
        <v>34</v>
      </c>
      <c r="F895">
        <v>3197.35</v>
      </c>
      <c r="G895">
        <v>45629.33</v>
      </c>
      <c r="H895" t="s">
        <v>49</v>
      </c>
      <c r="I895">
        <v>34</v>
      </c>
      <c r="J895" t="s">
        <v>42</v>
      </c>
      <c r="K895" t="s">
        <v>50</v>
      </c>
      <c r="L895" t="s">
        <v>226</v>
      </c>
      <c r="M895" t="s">
        <v>52</v>
      </c>
      <c r="N895" t="s">
        <v>62</v>
      </c>
      <c r="O895">
        <v>1.43</v>
      </c>
      <c r="R895">
        <v>675</v>
      </c>
      <c r="S895">
        <v>13206.23</v>
      </c>
      <c r="T895" t="s">
        <v>30</v>
      </c>
    </row>
    <row r="896" spans="1:20" x14ac:dyDescent="0.35">
      <c r="A896" t="s">
        <v>3246</v>
      </c>
      <c r="B896" t="s">
        <v>3247</v>
      </c>
      <c r="C896" t="s">
        <v>3248</v>
      </c>
      <c r="D896">
        <v>44978</v>
      </c>
      <c r="E896" t="s">
        <v>23</v>
      </c>
      <c r="F896">
        <v>9359.44</v>
      </c>
      <c r="G896">
        <v>27823.33</v>
      </c>
      <c r="H896" t="s">
        <v>35</v>
      </c>
      <c r="I896">
        <v>58</v>
      </c>
      <c r="J896" t="s">
        <v>42</v>
      </c>
      <c r="K896" t="s">
        <v>26</v>
      </c>
      <c r="L896" t="s">
        <v>3249</v>
      </c>
      <c r="M896" t="s">
        <v>38</v>
      </c>
      <c r="N896" t="s">
        <v>29</v>
      </c>
      <c r="O896">
        <v>1.33</v>
      </c>
      <c r="P896">
        <v>45774.39</v>
      </c>
      <c r="R896">
        <v>549</v>
      </c>
      <c r="S896">
        <v>7516.4</v>
      </c>
      <c r="T896" t="s">
        <v>63</v>
      </c>
    </row>
    <row r="897" spans="1:20" x14ac:dyDescent="0.35">
      <c r="A897" t="s">
        <v>3250</v>
      </c>
      <c r="B897" t="s">
        <v>3251</v>
      </c>
      <c r="C897" t="s">
        <v>3252</v>
      </c>
      <c r="D897">
        <v>45077</v>
      </c>
      <c r="E897" t="s">
        <v>23</v>
      </c>
      <c r="F897">
        <v>8521.73</v>
      </c>
      <c r="G897">
        <v>36961.360000000001</v>
      </c>
      <c r="H897" t="s">
        <v>24</v>
      </c>
      <c r="I897">
        <v>19</v>
      </c>
      <c r="J897" t="s">
        <v>25</v>
      </c>
      <c r="K897" t="s">
        <v>50</v>
      </c>
      <c r="L897" t="s">
        <v>406</v>
      </c>
      <c r="M897" t="s">
        <v>38</v>
      </c>
      <c r="N897" t="s">
        <v>44</v>
      </c>
      <c r="O897">
        <v>1.01</v>
      </c>
      <c r="R897">
        <v>745</v>
      </c>
      <c r="S897">
        <v>13903.99</v>
      </c>
      <c r="T897" t="s">
        <v>30</v>
      </c>
    </row>
    <row r="898" spans="1:20" x14ac:dyDescent="0.35">
      <c r="A898" t="s">
        <v>3253</v>
      </c>
      <c r="B898" t="s">
        <v>3254</v>
      </c>
      <c r="C898" t="s">
        <v>3255</v>
      </c>
      <c r="D898">
        <v>44923</v>
      </c>
      <c r="E898" t="s">
        <v>56</v>
      </c>
      <c r="F898">
        <v>9820.8700000000008</v>
      </c>
      <c r="G898">
        <v>17981.38</v>
      </c>
      <c r="H898" t="s">
        <v>125</v>
      </c>
      <c r="I898">
        <v>30</v>
      </c>
      <c r="J898" t="s">
        <v>25</v>
      </c>
      <c r="K898" t="s">
        <v>36</v>
      </c>
      <c r="L898" t="s">
        <v>682</v>
      </c>
      <c r="M898" t="s">
        <v>38</v>
      </c>
      <c r="N898" t="s">
        <v>44</v>
      </c>
      <c r="O898">
        <v>2.73</v>
      </c>
      <c r="Q898">
        <v>19</v>
      </c>
      <c r="R898">
        <v>577</v>
      </c>
      <c r="S898">
        <v>8473.19</v>
      </c>
      <c r="T898" t="s">
        <v>30</v>
      </c>
    </row>
    <row r="899" spans="1:20" x14ac:dyDescent="0.35">
      <c r="A899" t="s">
        <v>3256</v>
      </c>
      <c r="B899" t="s">
        <v>3257</v>
      </c>
      <c r="C899" t="s">
        <v>3258</v>
      </c>
      <c r="D899">
        <v>44708</v>
      </c>
      <c r="E899" t="s">
        <v>71</v>
      </c>
      <c r="F899">
        <v>6317.13</v>
      </c>
      <c r="G899">
        <v>20978.07</v>
      </c>
      <c r="H899" t="s">
        <v>49</v>
      </c>
      <c r="I899">
        <v>69</v>
      </c>
      <c r="J899" t="s">
        <v>25</v>
      </c>
      <c r="K899" t="s">
        <v>36</v>
      </c>
      <c r="L899" t="s">
        <v>1799</v>
      </c>
      <c r="M899" t="s">
        <v>38</v>
      </c>
      <c r="N899" t="s">
        <v>62</v>
      </c>
      <c r="O899">
        <v>3.01</v>
      </c>
      <c r="P899">
        <v>16417.810000000001</v>
      </c>
      <c r="R899">
        <v>411</v>
      </c>
      <c r="S899">
        <v>7184.88</v>
      </c>
      <c r="T899" t="s">
        <v>63</v>
      </c>
    </row>
    <row r="900" spans="1:20" x14ac:dyDescent="0.35">
      <c r="A900" t="s">
        <v>3259</v>
      </c>
      <c r="B900" t="s">
        <v>3260</v>
      </c>
      <c r="C900" t="s">
        <v>3261</v>
      </c>
      <c r="D900">
        <v>45131</v>
      </c>
      <c r="E900" t="s">
        <v>56</v>
      </c>
      <c r="F900">
        <v>2550.35</v>
      </c>
      <c r="G900">
        <v>7152.71</v>
      </c>
      <c r="H900" t="s">
        <v>100</v>
      </c>
      <c r="I900">
        <v>19</v>
      </c>
      <c r="J900" t="s">
        <v>42</v>
      </c>
      <c r="K900" t="s">
        <v>50</v>
      </c>
      <c r="L900" t="s">
        <v>178</v>
      </c>
      <c r="M900" t="s">
        <v>52</v>
      </c>
      <c r="N900" t="s">
        <v>29</v>
      </c>
      <c r="O900">
        <v>3.55</v>
      </c>
      <c r="P900">
        <v>41061.75</v>
      </c>
      <c r="Q900">
        <v>10</v>
      </c>
      <c r="R900">
        <v>772</v>
      </c>
      <c r="S900">
        <v>11755.06</v>
      </c>
      <c r="T900" t="s">
        <v>63</v>
      </c>
    </row>
    <row r="901" spans="1:20" x14ac:dyDescent="0.35">
      <c r="A901" t="s">
        <v>3262</v>
      </c>
      <c r="B901" t="s">
        <v>3263</v>
      </c>
      <c r="C901" t="s">
        <v>3264</v>
      </c>
      <c r="D901">
        <v>44798</v>
      </c>
      <c r="E901" t="s">
        <v>34</v>
      </c>
      <c r="F901">
        <v>1711.87</v>
      </c>
      <c r="G901">
        <v>9393.4500000000007</v>
      </c>
      <c r="H901" t="s">
        <v>24</v>
      </c>
      <c r="I901">
        <v>69</v>
      </c>
      <c r="J901" t="s">
        <v>25</v>
      </c>
      <c r="K901" t="s">
        <v>50</v>
      </c>
      <c r="L901" t="s">
        <v>453</v>
      </c>
      <c r="M901" t="s">
        <v>28</v>
      </c>
      <c r="N901" t="s">
        <v>62</v>
      </c>
      <c r="O901">
        <v>2.1800000000000002</v>
      </c>
      <c r="R901">
        <v>691</v>
      </c>
      <c r="S901">
        <v>2951.28</v>
      </c>
      <c r="T901" t="s">
        <v>63</v>
      </c>
    </row>
    <row r="902" spans="1:20" x14ac:dyDescent="0.35">
      <c r="A902" t="s">
        <v>3265</v>
      </c>
      <c r="B902" t="s">
        <v>3266</v>
      </c>
      <c r="C902" t="s">
        <v>3267</v>
      </c>
      <c r="D902">
        <v>44693</v>
      </c>
      <c r="E902" t="s">
        <v>23</v>
      </c>
      <c r="F902">
        <v>1950.45</v>
      </c>
      <c r="G902">
        <v>41540.47</v>
      </c>
      <c r="H902" t="s">
        <v>35</v>
      </c>
      <c r="I902">
        <v>45</v>
      </c>
      <c r="J902" t="s">
        <v>25</v>
      </c>
      <c r="K902" t="s">
        <v>26</v>
      </c>
      <c r="L902" t="s">
        <v>3268</v>
      </c>
      <c r="M902" t="s">
        <v>28</v>
      </c>
      <c r="N902" t="s">
        <v>62</v>
      </c>
      <c r="O902">
        <v>3.84</v>
      </c>
      <c r="P902">
        <v>36003.01</v>
      </c>
      <c r="Q902">
        <v>3</v>
      </c>
      <c r="R902">
        <v>442</v>
      </c>
      <c r="S902">
        <v>3163.22</v>
      </c>
      <c r="T902" t="s">
        <v>63</v>
      </c>
    </row>
    <row r="903" spans="1:20" x14ac:dyDescent="0.35">
      <c r="A903" t="s">
        <v>3269</v>
      </c>
      <c r="B903" t="s">
        <v>3270</v>
      </c>
      <c r="C903" t="s">
        <v>3271</v>
      </c>
      <c r="D903">
        <v>44791</v>
      </c>
      <c r="E903" t="s">
        <v>23</v>
      </c>
      <c r="F903">
        <v>295.98</v>
      </c>
      <c r="G903">
        <v>29657.09</v>
      </c>
      <c r="H903" t="s">
        <v>125</v>
      </c>
      <c r="I903">
        <v>60</v>
      </c>
      <c r="J903" t="s">
        <v>25</v>
      </c>
      <c r="K903" t="s">
        <v>26</v>
      </c>
      <c r="L903" t="s">
        <v>3272</v>
      </c>
      <c r="M903" t="s">
        <v>38</v>
      </c>
      <c r="N903" t="s">
        <v>44</v>
      </c>
      <c r="O903">
        <v>1.68</v>
      </c>
      <c r="P903">
        <v>12872.57</v>
      </c>
      <c r="R903">
        <v>331</v>
      </c>
      <c r="S903">
        <v>10475.66</v>
      </c>
      <c r="T903" t="s">
        <v>30</v>
      </c>
    </row>
    <row r="904" spans="1:20" x14ac:dyDescent="0.35">
      <c r="A904" t="s">
        <v>3273</v>
      </c>
      <c r="B904" t="s">
        <v>3274</v>
      </c>
      <c r="C904" t="s">
        <v>3275</v>
      </c>
      <c r="D904">
        <v>45056</v>
      </c>
      <c r="E904" t="s">
        <v>56</v>
      </c>
      <c r="F904">
        <v>3967.75</v>
      </c>
      <c r="G904">
        <v>17539.09</v>
      </c>
      <c r="H904" t="s">
        <v>100</v>
      </c>
      <c r="I904">
        <v>43</v>
      </c>
      <c r="J904" t="s">
        <v>42</v>
      </c>
      <c r="K904" t="s">
        <v>26</v>
      </c>
      <c r="L904" t="s">
        <v>634</v>
      </c>
      <c r="M904" t="s">
        <v>52</v>
      </c>
      <c r="N904" t="s">
        <v>29</v>
      </c>
      <c r="O904">
        <v>4.33</v>
      </c>
      <c r="R904">
        <v>480</v>
      </c>
      <c r="S904">
        <v>8330.23</v>
      </c>
      <c r="T904" t="s">
        <v>63</v>
      </c>
    </row>
    <row r="905" spans="1:20" x14ac:dyDescent="0.35">
      <c r="A905" t="s">
        <v>3276</v>
      </c>
      <c r="B905" t="s">
        <v>3277</v>
      </c>
      <c r="C905" t="s">
        <v>3278</v>
      </c>
      <c r="D905">
        <v>45082</v>
      </c>
      <c r="E905" t="s">
        <v>23</v>
      </c>
      <c r="F905">
        <v>1995.13</v>
      </c>
      <c r="G905">
        <v>40339.71</v>
      </c>
      <c r="H905" t="s">
        <v>35</v>
      </c>
      <c r="I905">
        <v>39</v>
      </c>
      <c r="J905" t="s">
        <v>25</v>
      </c>
      <c r="K905" t="s">
        <v>36</v>
      </c>
      <c r="L905" t="s">
        <v>3279</v>
      </c>
      <c r="M905" t="s">
        <v>52</v>
      </c>
      <c r="N905" t="s">
        <v>44</v>
      </c>
      <c r="O905">
        <v>3.29</v>
      </c>
      <c r="Q905">
        <v>19</v>
      </c>
      <c r="R905">
        <v>815</v>
      </c>
      <c r="S905">
        <v>12275.4</v>
      </c>
      <c r="T905" t="s">
        <v>45</v>
      </c>
    </row>
    <row r="906" spans="1:20" x14ac:dyDescent="0.35">
      <c r="A906" t="s">
        <v>3280</v>
      </c>
      <c r="B906" t="s">
        <v>3281</v>
      </c>
      <c r="C906" t="s">
        <v>3282</v>
      </c>
      <c r="D906">
        <v>45134</v>
      </c>
      <c r="E906" t="s">
        <v>34</v>
      </c>
      <c r="F906">
        <v>4175.3900000000003</v>
      </c>
      <c r="G906">
        <v>13079.48</v>
      </c>
      <c r="H906" t="s">
        <v>35</v>
      </c>
      <c r="I906">
        <v>64</v>
      </c>
      <c r="J906" t="s">
        <v>42</v>
      </c>
      <c r="K906" t="s">
        <v>36</v>
      </c>
      <c r="L906" t="s">
        <v>1189</v>
      </c>
      <c r="M906" t="s">
        <v>38</v>
      </c>
      <c r="N906" t="s">
        <v>29</v>
      </c>
      <c r="O906">
        <v>3.34</v>
      </c>
      <c r="P906">
        <v>38978.629999999997</v>
      </c>
      <c r="R906">
        <v>568</v>
      </c>
      <c r="S906">
        <v>13911.52</v>
      </c>
      <c r="T906" t="s">
        <v>30</v>
      </c>
    </row>
    <row r="907" spans="1:20" x14ac:dyDescent="0.35">
      <c r="A907" t="s">
        <v>3283</v>
      </c>
      <c r="B907" t="s">
        <v>3284</v>
      </c>
      <c r="C907" t="s">
        <v>3285</v>
      </c>
      <c r="D907">
        <v>44807</v>
      </c>
      <c r="E907" t="s">
        <v>23</v>
      </c>
      <c r="F907">
        <v>9356.44</v>
      </c>
      <c r="G907">
        <v>48825.599999999999</v>
      </c>
      <c r="H907" t="s">
        <v>49</v>
      </c>
      <c r="I907">
        <v>60</v>
      </c>
      <c r="J907" t="s">
        <v>25</v>
      </c>
      <c r="K907" t="s">
        <v>36</v>
      </c>
      <c r="L907" t="s">
        <v>1132</v>
      </c>
      <c r="M907" t="s">
        <v>38</v>
      </c>
      <c r="N907" t="s">
        <v>44</v>
      </c>
      <c r="O907">
        <v>1.84</v>
      </c>
      <c r="Q907">
        <v>25</v>
      </c>
      <c r="R907">
        <v>535</v>
      </c>
      <c r="S907">
        <v>7048.77</v>
      </c>
      <c r="T907" t="s">
        <v>45</v>
      </c>
    </row>
    <row r="908" spans="1:20" x14ac:dyDescent="0.35">
      <c r="A908" t="s">
        <v>3286</v>
      </c>
      <c r="B908" t="s">
        <v>3287</v>
      </c>
      <c r="C908" t="s">
        <v>3288</v>
      </c>
      <c r="D908">
        <v>44779</v>
      </c>
      <c r="E908" t="s">
        <v>56</v>
      </c>
      <c r="F908">
        <v>4362.3500000000004</v>
      </c>
      <c r="G908">
        <v>17896.060000000001</v>
      </c>
      <c r="H908" t="s">
        <v>49</v>
      </c>
      <c r="I908">
        <v>20</v>
      </c>
      <c r="J908" t="s">
        <v>25</v>
      </c>
      <c r="K908" t="s">
        <v>36</v>
      </c>
      <c r="L908" t="s">
        <v>505</v>
      </c>
      <c r="M908" t="s">
        <v>38</v>
      </c>
      <c r="N908" t="s">
        <v>44</v>
      </c>
      <c r="O908">
        <v>1.3</v>
      </c>
      <c r="P908">
        <v>28303.040000000001</v>
      </c>
      <c r="R908">
        <v>576</v>
      </c>
      <c r="S908">
        <v>9753.33</v>
      </c>
      <c r="T908" t="s">
        <v>30</v>
      </c>
    </row>
    <row r="909" spans="1:20" x14ac:dyDescent="0.35">
      <c r="A909" t="s">
        <v>3289</v>
      </c>
      <c r="B909" t="s">
        <v>3290</v>
      </c>
      <c r="C909" t="s">
        <v>3291</v>
      </c>
      <c r="D909">
        <v>45123</v>
      </c>
      <c r="E909" t="s">
        <v>34</v>
      </c>
      <c r="F909">
        <v>8792.0499999999993</v>
      </c>
      <c r="G909">
        <v>17528.240000000002</v>
      </c>
      <c r="H909" t="s">
        <v>100</v>
      </c>
      <c r="I909">
        <v>52</v>
      </c>
      <c r="J909" t="s">
        <v>25</v>
      </c>
      <c r="K909" t="s">
        <v>26</v>
      </c>
      <c r="L909" t="s">
        <v>2751</v>
      </c>
      <c r="M909" t="s">
        <v>28</v>
      </c>
      <c r="N909" t="s">
        <v>29</v>
      </c>
      <c r="O909">
        <v>2.86</v>
      </c>
      <c r="P909">
        <v>45083.55</v>
      </c>
      <c r="R909">
        <v>574</v>
      </c>
      <c r="S909">
        <v>8509.06</v>
      </c>
      <c r="T909" t="s">
        <v>30</v>
      </c>
    </row>
    <row r="910" spans="1:20" x14ac:dyDescent="0.35">
      <c r="A910" t="s">
        <v>3292</v>
      </c>
      <c r="B910" t="s">
        <v>3293</v>
      </c>
      <c r="C910" t="s">
        <v>3294</v>
      </c>
      <c r="D910">
        <v>45019</v>
      </c>
      <c r="E910" t="s">
        <v>56</v>
      </c>
      <c r="F910">
        <v>6094.5</v>
      </c>
      <c r="G910">
        <v>16283.68</v>
      </c>
      <c r="H910" t="s">
        <v>35</v>
      </c>
      <c r="I910">
        <v>29</v>
      </c>
      <c r="J910" t="s">
        <v>42</v>
      </c>
      <c r="K910" t="s">
        <v>36</v>
      </c>
      <c r="L910" t="s">
        <v>3295</v>
      </c>
      <c r="M910" t="s">
        <v>38</v>
      </c>
      <c r="N910" t="s">
        <v>29</v>
      </c>
      <c r="O910">
        <v>3.46</v>
      </c>
      <c r="Q910">
        <v>17</v>
      </c>
      <c r="R910">
        <v>385</v>
      </c>
      <c r="S910">
        <v>14760.94</v>
      </c>
      <c r="T910" t="s">
        <v>45</v>
      </c>
    </row>
    <row r="911" spans="1:20" x14ac:dyDescent="0.35">
      <c r="A911" t="s">
        <v>3296</v>
      </c>
      <c r="B911" t="s">
        <v>3297</v>
      </c>
      <c r="C911" t="s">
        <v>3298</v>
      </c>
      <c r="D911">
        <v>44867</v>
      </c>
      <c r="E911" t="s">
        <v>23</v>
      </c>
      <c r="F911">
        <v>2546.6</v>
      </c>
      <c r="G911">
        <v>6983.46</v>
      </c>
      <c r="H911" t="s">
        <v>49</v>
      </c>
      <c r="I911">
        <v>41</v>
      </c>
      <c r="J911" t="s">
        <v>25</v>
      </c>
      <c r="K911" t="s">
        <v>36</v>
      </c>
      <c r="L911" t="s">
        <v>3299</v>
      </c>
      <c r="M911" t="s">
        <v>28</v>
      </c>
      <c r="N911" t="s">
        <v>44</v>
      </c>
      <c r="O911">
        <v>1.38</v>
      </c>
      <c r="R911">
        <v>362</v>
      </c>
      <c r="S911">
        <v>12804.1</v>
      </c>
      <c r="T911" t="s">
        <v>63</v>
      </c>
    </row>
    <row r="912" spans="1:20" x14ac:dyDescent="0.35">
      <c r="A912" t="s">
        <v>3300</v>
      </c>
      <c r="B912" t="s">
        <v>3301</v>
      </c>
      <c r="C912" t="s">
        <v>3302</v>
      </c>
      <c r="D912">
        <v>44585</v>
      </c>
      <c r="E912" t="s">
        <v>56</v>
      </c>
      <c r="F912">
        <v>3622.96</v>
      </c>
      <c r="G912">
        <v>6445.72</v>
      </c>
      <c r="H912" t="s">
        <v>125</v>
      </c>
      <c r="I912">
        <v>22</v>
      </c>
      <c r="J912" t="s">
        <v>25</v>
      </c>
      <c r="K912" t="s">
        <v>36</v>
      </c>
      <c r="L912" t="s">
        <v>1268</v>
      </c>
      <c r="M912" t="s">
        <v>52</v>
      </c>
      <c r="N912" t="s">
        <v>29</v>
      </c>
      <c r="O912">
        <v>4.8</v>
      </c>
      <c r="P912">
        <v>29593.51</v>
      </c>
      <c r="Q912">
        <v>26</v>
      </c>
      <c r="R912">
        <v>703</v>
      </c>
      <c r="S912">
        <v>13852.59</v>
      </c>
      <c r="T912" t="s">
        <v>63</v>
      </c>
    </row>
    <row r="913" spans="1:20" x14ac:dyDescent="0.35">
      <c r="A913" t="s">
        <v>3303</v>
      </c>
      <c r="B913" t="s">
        <v>3304</v>
      </c>
      <c r="C913" t="s">
        <v>3305</v>
      </c>
      <c r="D913">
        <v>44659</v>
      </c>
      <c r="E913" t="s">
        <v>56</v>
      </c>
      <c r="F913">
        <v>930.8</v>
      </c>
      <c r="G913">
        <v>32757.15</v>
      </c>
      <c r="H913" t="s">
        <v>125</v>
      </c>
      <c r="I913">
        <v>37</v>
      </c>
      <c r="J913" t="s">
        <v>42</v>
      </c>
      <c r="K913" t="s">
        <v>36</v>
      </c>
      <c r="L913" t="s">
        <v>1128</v>
      </c>
      <c r="M913" t="s">
        <v>52</v>
      </c>
      <c r="N913" t="s">
        <v>44</v>
      </c>
      <c r="O913">
        <v>4.92</v>
      </c>
      <c r="P913">
        <v>27768.45</v>
      </c>
      <c r="Q913">
        <v>21</v>
      </c>
      <c r="R913">
        <v>491</v>
      </c>
      <c r="S913">
        <v>5306.42</v>
      </c>
      <c r="T913" t="s">
        <v>45</v>
      </c>
    </row>
    <row r="914" spans="1:20" x14ac:dyDescent="0.35">
      <c r="A914" t="s">
        <v>3306</v>
      </c>
      <c r="B914" t="s">
        <v>3307</v>
      </c>
      <c r="C914" t="s">
        <v>3308</v>
      </c>
      <c r="D914">
        <v>45065</v>
      </c>
      <c r="E914" t="s">
        <v>71</v>
      </c>
      <c r="F914">
        <v>3401.28</v>
      </c>
      <c r="G914">
        <v>43880.78</v>
      </c>
      <c r="H914" t="s">
        <v>35</v>
      </c>
      <c r="I914">
        <v>56</v>
      </c>
      <c r="J914" t="s">
        <v>42</v>
      </c>
      <c r="K914" t="s">
        <v>50</v>
      </c>
      <c r="L914" t="s">
        <v>3309</v>
      </c>
      <c r="M914" t="s">
        <v>28</v>
      </c>
      <c r="N914" t="s">
        <v>29</v>
      </c>
      <c r="O914">
        <v>3.18</v>
      </c>
      <c r="P914">
        <v>15005.89</v>
      </c>
      <c r="R914">
        <v>592</v>
      </c>
      <c r="S914">
        <v>12042.84</v>
      </c>
      <c r="T914" t="s">
        <v>63</v>
      </c>
    </row>
    <row r="915" spans="1:20" x14ac:dyDescent="0.35">
      <c r="A915" t="s">
        <v>3310</v>
      </c>
      <c r="B915" t="s">
        <v>3311</v>
      </c>
      <c r="C915" t="s">
        <v>3312</v>
      </c>
      <c r="D915">
        <v>45135</v>
      </c>
      <c r="E915" t="s">
        <v>23</v>
      </c>
      <c r="F915">
        <v>6807.66</v>
      </c>
      <c r="G915">
        <v>39735.51</v>
      </c>
      <c r="H915" t="s">
        <v>49</v>
      </c>
      <c r="I915">
        <v>56</v>
      </c>
      <c r="J915" t="s">
        <v>42</v>
      </c>
      <c r="K915" t="s">
        <v>26</v>
      </c>
      <c r="L915" t="s">
        <v>1999</v>
      </c>
      <c r="M915" t="s">
        <v>28</v>
      </c>
      <c r="N915" t="s">
        <v>44</v>
      </c>
      <c r="O915">
        <v>4.8</v>
      </c>
      <c r="R915">
        <v>330</v>
      </c>
      <c r="S915">
        <v>5451.15</v>
      </c>
      <c r="T915" t="s">
        <v>30</v>
      </c>
    </row>
    <row r="916" spans="1:20" x14ac:dyDescent="0.35">
      <c r="A916" t="s">
        <v>3313</v>
      </c>
      <c r="B916" t="s">
        <v>3314</v>
      </c>
      <c r="C916" t="s">
        <v>3315</v>
      </c>
      <c r="D916">
        <v>44682</v>
      </c>
      <c r="E916" t="s">
        <v>23</v>
      </c>
      <c r="F916">
        <v>813.9</v>
      </c>
      <c r="G916">
        <v>7914.27</v>
      </c>
      <c r="H916" t="s">
        <v>100</v>
      </c>
      <c r="I916">
        <v>30</v>
      </c>
      <c r="J916" t="s">
        <v>25</v>
      </c>
      <c r="K916" t="s">
        <v>26</v>
      </c>
      <c r="L916" t="s">
        <v>3316</v>
      </c>
      <c r="M916" t="s">
        <v>28</v>
      </c>
      <c r="N916" t="s">
        <v>44</v>
      </c>
      <c r="O916">
        <v>1.72</v>
      </c>
      <c r="P916">
        <v>11326.32</v>
      </c>
      <c r="R916">
        <v>629</v>
      </c>
      <c r="S916">
        <v>4713.6499999999996</v>
      </c>
      <c r="T916" t="s">
        <v>30</v>
      </c>
    </row>
    <row r="917" spans="1:20" x14ac:dyDescent="0.35">
      <c r="A917" t="s">
        <v>3317</v>
      </c>
      <c r="B917" t="s">
        <v>3318</v>
      </c>
      <c r="C917" t="s">
        <v>3319</v>
      </c>
      <c r="D917">
        <v>44988</v>
      </c>
      <c r="E917" t="s">
        <v>56</v>
      </c>
      <c r="F917">
        <v>2133.4699999999998</v>
      </c>
      <c r="G917">
        <v>27733.52</v>
      </c>
      <c r="H917" t="s">
        <v>100</v>
      </c>
      <c r="I917">
        <v>58</v>
      </c>
      <c r="J917" t="s">
        <v>42</v>
      </c>
      <c r="K917" t="s">
        <v>36</v>
      </c>
      <c r="L917" t="s">
        <v>925</v>
      </c>
      <c r="M917" t="s">
        <v>28</v>
      </c>
      <c r="N917" t="s">
        <v>44</v>
      </c>
      <c r="O917">
        <v>1.1000000000000001</v>
      </c>
      <c r="Q917">
        <v>1</v>
      </c>
      <c r="R917">
        <v>406</v>
      </c>
      <c r="S917">
        <v>14275.46</v>
      </c>
      <c r="T917" t="s">
        <v>30</v>
      </c>
    </row>
    <row r="918" spans="1:20" x14ac:dyDescent="0.35">
      <c r="A918" t="s">
        <v>3320</v>
      </c>
      <c r="B918" t="s">
        <v>3321</v>
      </c>
      <c r="C918" t="s">
        <v>3322</v>
      </c>
      <c r="D918">
        <v>44707</v>
      </c>
      <c r="E918" t="s">
        <v>71</v>
      </c>
      <c r="F918">
        <v>3876.27</v>
      </c>
      <c r="G918">
        <v>6173.99</v>
      </c>
      <c r="H918" t="s">
        <v>100</v>
      </c>
      <c r="I918">
        <v>62</v>
      </c>
      <c r="J918" t="s">
        <v>25</v>
      </c>
      <c r="K918" t="s">
        <v>50</v>
      </c>
      <c r="L918" t="s">
        <v>966</v>
      </c>
      <c r="M918" t="s">
        <v>38</v>
      </c>
      <c r="N918" t="s">
        <v>62</v>
      </c>
      <c r="O918">
        <v>1.1599999999999999</v>
      </c>
      <c r="P918">
        <v>35415.129999999997</v>
      </c>
      <c r="Q918">
        <v>14</v>
      </c>
      <c r="R918">
        <v>575</v>
      </c>
      <c r="S918">
        <v>2250.96</v>
      </c>
      <c r="T918" t="s">
        <v>63</v>
      </c>
    </row>
    <row r="919" spans="1:20" x14ac:dyDescent="0.35">
      <c r="A919" t="s">
        <v>3323</v>
      </c>
      <c r="B919" t="s">
        <v>3324</v>
      </c>
      <c r="C919" t="s">
        <v>3325</v>
      </c>
      <c r="D919">
        <v>44906</v>
      </c>
      <c r="E919" t="s">
        <v>23</v>
      </c>
      <c r="F919">
        <v>9822.2900000000009</v>
      </c>
      <c r="G919">
        <v>3219.44</v>
      </c>
      <c r="H919" t="s">
        <v>125</v>
      </c>
      <c r="I919">
        <v>29</v>
      </c>
      <c r="J919" t="s">
        <v>42</v>
      </c>
      <c r="K919" t="s">
        <v>26</v>
      </c>
      <c r="L919" t="s">
        <v>3326</v>
      </c>
      <c r="M919" t="s">
        <v>52</v>
      </c>
      <c r="N919" t="s">
        <v>29</v>
      </c>
      <c r="O919">
        <v>3.35</v>
      </c>
      <c r="R919">
        <v>381</v>
      </c>
      <c r="S919">
        <v>14550.05</v>
      </c>
      <c r="T919" t="s">
        <v>63</v>
      </c>
    </row>
    <row r="920" spans="1:20" x14ac:dyDescent="0.35">
      <c r="A920" t="s">
        <v>3327</v>
      </c>
      <c r="B920" t="s">
        <v>3328</v>
      </c>
      <c r="C920" t="s">
        <v>3329</v>
      </c>
      <c r="D920">
        <v>45011</v>
      </c>
      <c r="E920" t="s">
        <v>34</v>
      </c>
      <c r="F920">
        <v>7870.13</v>
      </c>
      <c r="G920">
        <v>33162.910000000003</v>
      </c>
      <c r="H920" t="s">
        <v>49</v>
      </c>
      <c r="I920">
        <v>30</v>
      </c>
      <c r="J920" t="s">
        <v>42</v>
      </c>
      <c r="K920" t="s">
        <v>26</v>
      </c>
      <c r="L920" t="s">
        <v>2975</v>
      </c>
      <c r="M920" t="s">
        <v>38</v>
      </c>
      <c r="N920" t="s">
        <v>44</v>
      </c>
      <c r="O920">
        <v>1.25</v>
      </c>
      <c r="P920">
        <v>9144.3799999999992</v>
      </c>
      <c r="Q920">
        <v>2</v>
      </c>
      <c r="R920">
        <v>363</v>
      </c>
      <c r="S920">
        <v>3940.4</v>
      </c>
      <c r="T920" t="s">
        <v>45</v>
      </c>
    </row>
    <row r="921" spans="1:20" x14ac:dyDescent="0.35">
      <c r="A921" t="s">
        <v>3330</v>
      </c>
      <c r="B921" t="s">
        <v>2484</v>
      </c>
      <c r="C921" t="s">
        <v>3331</v>
      </c>
      <c r="D921">
        <v>44615</v>
      </c>
      <c r="E921" t="s">
        <v>56</v>
      </c>
      <c r="F921">
        <v>7361.52</v>
      </c>
      <c r="G921">
        <v>27222.46</v>
      </c>
      <c r="H921" t="s">
        <v>49</v>
      </c>
      <c r="I921">
        <v>27</v>
      </c>
      <c r="J921" t="s">
        <v>42</v>
      </c>
      <c r="K921" t="s">
        <v>36</v>
      </c>
      <c r="L921" t="s">
        <v>3332</v>
      </c>
      <c r="M921" t="s">
        <v>28</v>
      </c>
      <c r="N921" t="s">
        <v>62</v>
      </c>
      <c r="O921">
        <v>4.83</v>
      </c>
      <c r="Q921">
        <v>19</v>
      </c>
      <c r="R921">
        <v>428</v>
      </c>
      <c r="S921">
        <v>12652.7</v>
      </c>
      <c r="T921" t="s">
        <v>30</v>
      </c>
    </row>
    <row r="922" spans="1:20" x14ac:dyDescent="0.35">
      <c r="A922" t="s">
        <v>3333</v>
      </c>
      <c r="B922" t="s">
        <v>3334</v>
      </c>
      <c r="C922" t="s">
        <v>3335</v>
      </c>
      <c r="D922">
        <v>44749</v>
      </c>
      <c r="E922" t="s">
        <v>23</v>
      </c>
      <c r="F922">
        <v>1250.29</v>
      </c>
      <c r="G922">
        <v>5019.16</v>
      </c>
      <c r="H922" t="s">
        <v>125</v>
      </c>
      <c r="I922">
        <v>50</v>
      </c>
      <c r="J922" t="s">
        <v>25</v>
      </c>
      <c r="K922" t="s">
        <v>36</v>
      </c>
      <c r="L922" t="s">
        <v>1136</v>
      </c>
      <c r="M922" t="s">
        <v>38</v>
      </c>
      <c r="N922" t="s">
        <v>44</v>
      </c>
      <c r="O922">
        <v>1.57</v>
      </c>
      <c r="P922">
        <v>44472.14</v>
      </c>
      <c r="Q922">
        <v>15</v>
      </c>
      <c r="R922">
        <v>555</v>
      </c>
      <c r="S922">
        <v>5586.99</v>
      </c>
      <c r="T922" t="s">
        <v>45</v>
      </c>
    </row>
    <row r="923" spans="1:20" x14ac:dyDescent="0.35">
      <c r="A923" t="s">
        <v>3336</v>
      </c>
      <c r="B923" t="s">
        <v>3337</v>
      </c>
      <c r="C923" t="s">
        <v>3338</v>
      </c>
      <c r="D923">
        <v>45021</v>
      </c>
      <c r="E923" t="s">
        <v>34</v>
      </c>
      <c r="F923">
        <v>7831.86</v>
      </c>
      <c r="G923">
        <v>2712.02</v>
      </c>
      <c r="H923" t="s">
        <v>100</v>
      </c>
      <c r="I923">
        <v>57</v>
      </c>
      <c r="J923" t="s">
        <v>25</v>
      </c>
      <c r="K923" t="s">
        <v>26</v>
      </c>
      <c r="L923" t="s">
        <v>3339</v>
      </c>
      <c r="M923" t="s">
        <v>38</v>
      </c>
      <c r="N923" t="s">
        <v>62</v>
      </c>
      <c r="O923">
        <v>2.2200000000000002</v>
      </c>
      <c r="P923">
        <v>22786.43</v>
      </c>
      <c r="Q923">
        <v>28</v>
      </c>
      <c r="R923">
        <v>530</v>
      </c>
      <c r="S923">
        <v>6559.13</v>
      </c>
      <c r="T923" t="s">
        <v>63</v>
      </c>
    </row>
    <row r="924" spans="1:20" x14ac:dyDescent="0.35">
      <c r="A924" t="s">
        <v>3340</v>
      </c>
      <c r="B924" t="s">
        <v>3341</v>
      </c>
      <c r="C924" t="s">
        <v>3342</v>
      </c>
      <c r="D924">
        <v>45102</v>
      </c>
      <c r="E924" t="s">
        <v>23</v>
      </c>
      <c r="F924">
        <v>7874.16</v>
      </c>
      <c r="G924">
        <v>49498.06</v>
      </c>
      <c r="H924" t="s">
        <v>100</v>
      </c>
      <c r="I924">
        <v>33</v>
      </c>
      <c r="J924" t="s">
        <v>25</v>
      </c>
      <c r="K924" t="s">
        <v>26</v>
      </c>
      <c r="L924" t="s">
        <v>2949</v>
      </c>
      <c r="M924" t="s">
        <v>52</v>
      </c>
      <c r="N924" t="s">
        <v>44</v>
      </c>
      <c r="O924">
        <v>4.29</v>
      </c>
      <c r="P924">
        <v>25983.63</v>
      </c>
      <c r="R924">
        <v>796</v>
      </c>
      <c r="S924">
        <v>4817.8500000000004</v>
      </c>
      <c r="T924" t="s">
        <v>45</v>
      </c>
    </row>
    <row r="925" spans="1:20" x14ac:dyDescent="0.35">
      <c r="A925" t="s">
        <v>3343</v>
      </c>
      <c r="B925" t="s">
        <v>1303</v>
      </c>
      <c r="C925" t="s">
        <v>3344</v>
      </c>
      <c r="D925">
        <v>45007</v>
      </c>
      <c r="E925" t="s">
        <v>34</v>
      </c>
      <c r="F925">
        <v>6050.92</v>
      </c>
      <c r="G925">
        <v>2471.0500000000002</v>
      </c>
      <c r="H925" t="s">
        <v>35</v>
      </c>
      <c r="I925">
        <v>62</v>
      </c>
      <c r="J925" t="s">
        <v>25</v>
      </c>
      <c r="K925" t="s">
        <v>50</v>
      </c>
      <c r="L925" t="s">
        <v>2159</v>
      </c>
      <c r="M925" t="s">
        <v>38</v>
      </c>
      <c r="N925" t="s">
        <v>44</v>
      </c>
      <c r="O925">
        <v>1.87</v>
      </c>
      <c r="P925">
        <v>43729.33</v>
      </c>
      <c r="R925">
        <v>436</v>
      </c>
      <c r="S925">
        <v>9611.68</v>
      </c>
      <c r="T925" t="s">
        <v>63</v>
      </c>
    </row>
    <row r="926" spans="1:20" x14ac:dyDescent="0.35">
      <c r="A926" t="s">
        <v>3345</v>
      </c>
      <c r="B926" t="s">
        <v>3346</v>
      </c>
      <c r="C926" t="s">
        <v>3347</v>
      </c>
      <c r="D926">
        <v>44906</v>
      </c>
      <c r="E926" t="s">
        <v>56</v>
      </c>
      <c r="F926">
        <v>9904.58</v>
      </c>
      <c r="G926">
        <v>22781.88</v>
      </c>
      <c r="H926" t="s">
        <v>24</v>
      </c>
      <c r="I926">
        <v>52</v>
      </c>
      <c r="J926" t="s">
        <v>25</v>
      </c>
      <c r="K926" t="s">
        <v>26</v>
      </c>
      <c r="L926" t="s">
        <v>2098</v>
      </c>
      <c r="M926" t="s">
        <v>52</v>
      </c>
      <c r="N926" t="s">
        <v>62</v>
      </c>
      <c r="O926">
        <v>1.97</v>
      </c>
      <c r="R926">
        <v>754</v>
      </c>
      <c r="S926">
        <v>6525.24</v>
      </c>
      <c r="T926" t="s">
        <v>30</v>
      </c>
    </row>
    <row r="927" spans="1:20" x14ac:dyDescent="0.35">
      <c r="A927" t="s">
        <v>3348</v>
      </c>
      <c r="B927" t="s">
        <v>3349</v>
      </c>
      <c r="C927" t="s">
        <v>3350</v>
      </c>
      <c r="D927">
        <v>45033</v>
      </c>
      <c r="E927" t="s">
        <v>23</v>
      </c>
      <c r="F927">
        <v>3320.01</v>
      </c>
      <c r="G927">
        <v>25726.33</v>
      </c>
      <c r="H927" t="s">
        <v>49</v>
      </c>
      <c r="I927">
        <v>20</v>
      </c>
      <c r="J927" t="s">
        <v>25</v>
      </c>
      <c r="K927" t="s">
        <v>26</v>
      </c>
      <c r="L927" t="s">
        <v>620</v>
      </c>
      <c r="M927" t="s">
        <v>28</v>
      </c>
      <c r="N927" t="s">
        <v>62</v>
      </c>
      <c r="O927">
        <v>3.57</v>
      </c>
      <c r="Q927">
        <v>19</v>
      </c>
      <c r="R927">
        <v>654</v>
      </c>
      <c r="S927">
        <v>10546.11</v>
      </c>
      <c r="T927" t="s">
        <v>30</v>
      </c>
    </row>
    <row r="928" spans="1:20" x14ac:dyDescent="0.35">
      <c r="A928" t="s">
        <v>3351</v>
      </c>
      <c r="B928" t="s">
        <v>3352</v>
      </c>
      <c r="C928" t="s">
        <v>3353</v>
      </c>
      <c r="D928">
        <v>44600</v>
      </c>
      <c r="E928" t="s">
        <v>23</v>
      </c>
      <c r="F928">
        <v>9418.6</v>
      </c>
      <c r="G928">
        <v>6746.73</v>
      </c>
      <c r="H928" t="s">
        <v>49</v>
      </c>
      <c r="I928">
        <v>22</v>
      </c>
      <c r="J928" t="s">
        <v>25</v>
      </c>
      <c r="K928" t="s">
        <v>36</v>
      </c>
      <c r="L928" t="s">
        <v>2199</v>
      </c>
      <c r="M928" t="s">
        <v>38</v>
      </c>
      <c r="N928" t="s">
        <v>29</v>
      </c>
      <c r="O928">
        <v>2.1</v>
      </c>
      <c r="Q928">
        <v>21</v>
      </c>
      <c r="R928">
        <v>784</v>
      </c>
      <c r="S928">
        <v>2203.42</v>
      </c>
      <c r="T928" t="s">
        <v>63</v>
      </c>
    </row>
    <row r="929" spans="1:20" x14ac:dyDescent="0.35">
      <c r="A929" t="s">
        <v>3354</v>
      </c>
      <c r="B929" t="s">
        <v>3355</v>
      </c>
      <c r="C929" t="s">
        <v>3356</v>
      </c>
      <c r="D929">
        <v>45113</v>
      </c>
      <c r="E929" t="s">
        <v>71</v>
      </c>
      <c r="F929">
        <v>9155.84</v>
      </c>
      <c r="G929">
        <v>9284.0300000000007</v>
      </c>
      <c r="H929" t="s">
        <v>49</v>
      </c>
      <c r="I929">
        <v>43</v>
      </c>
      <c r="J929" t="s">
        <v>25</v>
      </c>
      <c r="K929" t="s">
        <v>26</v>
      </c>
      <c r="L929" t="s">
        <v>1029</v>
      </c>
      <c r="M929" t="s">
        <v>28</v>
      </c>
      <c r="N929" t="s">
        <v>29</v>
      </c>
      <c r="O929">
        <v>1.87</v>
      </c>
      <c r="Q929">
        <v>10</v>
      </c>
      <c r="R929">
        <v>445</v>
      </c>
      <c r="S929">
        <v>2836.87</v>
      </c>
      <c r="T929" t="s">
        <v>63</v>
      </c>
    </row>
    <row r="930" spans="1:20" x14ac:dyDescent="0.35">
      <c r="A930" t="s">
        <v>3357</v>
      </c>
      <c r="B930" t="s">
        <v>1601</v>
      </c>
      <c r="C930" t="s">
        <v>3358</v>
      </c>
      <c r="D930">
        <v>45047</v>
      </c>
      <c r="E930" t="s">
        <v>56</v>
      </c>
      <c r="F930">
        <v>213.66</v>
      </c>
      <c r="G930">
        <v>18238.45</v>
      </c>
      <c r="H930" t="s">
        <v>24</v>
      </c>
      <c r="I930">
        <v>28</v>
      </c>
      <c r="J930" t="s">
        <v>25</v>
      </c>
      <c r="K930" t="s">
        <v>36</v>
      </c>
      <c r="L930" t="s">
        <v>3359</v>
      </c>
      <c r="M930" t="s">
        <v>52</v>
      </c>
      <c r="N930" t="s">
        <v>62</v>
      </c>
      <c r="O930">
        <v>2.02</v>
      </c>
      <c r="Q930">
        <v>1</v>
      </c>
      <c r="R930">
        <v>332</v>
      </c>
      <c r="S930">
        <v>3295.59</v>
      </c>
      <c r="T930" t="s">
        <v>63</v>
      </c>
    </row>
    <row r="931" spans="1:20" x14ac:dyDescent="0.35">
      <c r="A931" t="s">
        <v>3360</v>
      </c>
      <c r="B931" t="s">
        <v>3361</v>
      </c>
      <c r="C931" t="s">
        <v>3362</v>
      </c>
      <c r="D931">
        <v>44893</v>
      </c>
      <c r="E931" t="s">
        <v>34</v>
      </c>
      <c r="F931">
        <v>4556.1499999999996</v>
      </c>
      <c r="G931">
        <v>38322.120000000003</v>
      </c>
      <c r="H931" t="s">
        <v>35</v>
      </c>
      <c r="I931">
        <v>24</v>
      </c>
      <c r="J931" t="s">
        <v>42</v>
      </c>
      <c r="K931" t="s">
        <v>26</v>
      </c>
      <c r="L931" t="s">
        <v>3026</v>
      </c>
      <c r="M931" t="s">
        <v>28</v>
      </c>
      <c r="N931" t="s">
        <v>29</v>
      </c>
      <c r="O931">
        <v>2.96</v>
      </c>
      <c r="P931">
        <v>7273.41</v>
      </c>
      <c r="R931">
        <v>559</v>
      </c>
      <c r="S931">
        <v>7446.92</v>
      </c>
      <c r="T931" t="s">
        <v>30</v>
      </c>
    </row>
    <row r="932" spans="1:20" x14ac:dyDescent="0.35">
      <c r="A932" t="s">
        <v>3363</v>
      </c>
      <c r="B932" t="s">
        <v>3364</v>
      </c>
      <c r="C932" t="s">
        <v>3365</v>
      </c>
      <c r="D932">
        <v>44614</v>
      </c>
      <c r="E932" t="s">
        <v>23</v>
      </c>
      <c r="F932">
        <v>9773.33</v>
      </c>
      <c r="G932">
        <v>25847.040000000001</v>
      </c>
      <c r="H932" t="s">
        <v>24</v>
      </c>
      <c r="I932">
        <v>27</v>
      </c>
      <c r="J932" t="s">
        <v>42</v>
      </c>
      <c r="K932" t="s">
        <v>26</v>
      </c>
      <c r="L932" t="s">
        <v>3366</v>
      </c>
      <c r="M932" t="s">
        <v>28</v>
      </c>
      <c r="N932" t="s">
        <v>62</v>
      </c>
      <c r="O932">
        <v>4.8600000000000003</v>
      </c>
      <c r="Q932">
        <v>22</v>
      </c>
      <c r="R932">
        <v>386</v>
      </c>
      <c r="S932">
        <v>12592.35</v>
      </c>
      <c r="T932" t="s">
        <v>63</v>
      </c>
    </row>
    <row r="933" spans="1:20" x14ac:dyDescent="0.35">
      <c r="A933" t="s">
        <v>3367</v>
      </c>
      <c r="B933" t="s">
        <v>3368</v>
      </c>
      <c r="C933" t="s">
        <v>3369</v>
      </c>
      <c r="D933">
        <v>45102</v>
      </c>
      <c r="E933" t="s">
        <v>23</v>
      </c>
      <c r="F933">
        <v>1120.9000000000001</v>
      </c>
      <c r="G933">
        <v>32257.19</v>
      </c>
      <c r="H933" t="s">
        <v>100</v>
      </c>
      <c r="I933">
        <v>59</v>
      </c>
      <c r="J933" t="s">
        <v>25</v>
      </c>
      <c r="K933" t="s">
        <v>26</v>
      </c>
      <c r="L933" t="s">
        <v>2386</v>
      </c>
      <c r="M933" t="s">
        <v>52</v>
      </c>
      <c r="N933" t="s">
        <v>29</v>
      </c>
      <c r="O933">
        <v>4.33</v>
      </c>
      <c r="Q933">
        <v>15</v>
      </c>
      <c r="R933">
        <v>564</v>
      </c>
      <c r="S933">
        <v>13546.31</v>
      </c>
      <c r="T933" t="s">
        <v>30</v>
      </c>
    </row>
    <row r="934" spans="1:20" x14ac:dyDescent="0.35">
      <c r="A934" t="s">
        <v>3370</v>
      </c>
      <c r="B934" t="s">
        <v>3371</v>
      </c>
      <c r="C934" t="s">
        <v>3372</v>
      </c>
      <c r="D934">
        <v>44562</v>
      </c>
      <c r="E934" t="s">
        <v>34</v>
      </c>
      <c r="F934">
        <v>5523.07</v>
      </c>
      <c r="G934">
        <v>49273.55</v>
      </c>
      <c r="H934" t="s">
        <v>100</v>
      </c>
      <c r="I934">
        <v>69</v>
      </c>
      <c r="J934" t="s">
        <v>25</v>
      </c>
      <c r="K934" t="s">
        <v>50</v>
      </c>
      <c r="L934" t="s">
        <v>1512</v>
      </c>
      <c r="M934" t="s">
        <v>28</v>
      </c>
      <c r="N934" t="s">
        <v>44</v>
      </c>
      <c r="O934">
        <v>2.14</v>
      </c>
      <c r="R934">
        <v>841</v>
      </c>
      <c r="S934">
        <v>5182.54</v>
      </c>
      <c r="T934" t="s">
        <v>45</v>
      </c>
    </row>
    <row r="935" spans="1:20" x14ac:dyDescent="0.35">
      <c r="A935" t="s">
        <v>3373</v>
      </c>
      <c r="B935" t="s">
        <v>3374</v>
      </c>
      <c r="C935" t="s">
        <v>3375</v>
      </c>
      <c r="D935">
        <v>44809</v>
      </c>
      <c r="E935" t="s">
        <v>56</v>
      </c>
      <c r="F935">
        <v>9791.68</v>
      </c>
      <c r="G935">
        <v>38632.269999999997</v>
      </c>
      <c r="H935" t="s">
        <v>49</v>
      </c>
      <c r="I935">
        <v>51</v>
      </c>
      <c r="J935" t="s">
        <v>25</v>
      </c>
      <c r="K935" t="s">
        <v>36</v>
      </c>
      <c r="L935" t="s">
        <v>1807</v>
      </c>
      <c r="M935" t="s">
        <v>28</v>
      </c>
      <c r="N935" t="s">
        <v>29</v>
      </c>
      <c r="O935">
        <v>2.4500000000000002</v>
      </c>
      <c r="R935">
        <v>691</v>
      </c>
      <c r="S935">
        <v>9466.81</v>
      </c>
      <c r="T935" t="s">
        <v>30</v>
      </c>
    </row>
    <row r="936" spans="1:20" x14ac:dyDescent="0.35">
      <c r="A936" t="s">
        <v>3376</v>
      </c>
      <c r="B936" t="s">
        <v>2037</v>
      </c>
      <c r="C936" t="s">
        <v>3377</v>
      </c>
      <c r="D936">
        <v>44968</v>
      </c>
      <c r="E936" t="s">
        <v>71</v>
      </c>
      <c r="F936">
        <v>5599.4</v>
      </c>
      <c r="G936">
        <v>22283.71</v>
      </c>
      <c r="H936" t="s">
        <v>125</v>
      </c>
      <c r="I936">
        <v>20</v>
      </c>
      <c r="J936" t="s">
        <v>25</v>
      </c>
      <c r="K936" t="s">
        <v>50</v>
      </c>
      <c r="L936" t="s">
        <v>3378</v>
      </c>
      <c r="M936" t="s">
        <v>28</v>
      </c>
      <c r="N936" t="s">
        <v>44</v>
      </c>
      <c r="O936">
        <v>2.86</v>
      </c>
      <c r="P936">
        <v>42910.6</v>
      </c>
      <c r="R936">
        <v>531</v>
      </c>
      <c r="S936">
        <v>11988.74</v>
      </c>
      <c r="T936" t="s">
        <v>45</v>
      </c>
    </row>
    <row r="937" spans="1:20" x14ac:dyDescent="0.35">
      <c r="A937" t="s">
        <v>3379</v>
      </c>
      <c r="B937" t="s">
        <v>3380</v>
      </c>
      <c r="C937" t="s">
        <v>3381</v>
      </c>
      <c r="D937">
        <v>45118</v>
      </c>
      <c r="E937" t="s">
        <v>71</v>
      </c>
      <c r="F937">
        <v>1979.17</v>
      </c>
      <c r="G937">
        <v>22875.65</v>
      </c>
      <c r="H937" t="s">
        <v>49</v>
      </c>
      <c r="I937">
        <v>25</v>
      </c>
      <c r="J937" t="s">
        <v>42</v>
      </c>
      <c r="K937" t="s">
        <v>26</v>
      </c>
      <c r="L937" t="s">
        <v>2003</v>
      </c>
      <c r="M937" t="s">
        <v>38</v>
      </c>
      <c r="N937" t="s">
        <v>44</v>
      </c>
      <c r="O937">
        <v>4.92</v>
      </c>
      <c r="P937">
        <v>25967.48</v>
      </c>
      <c r="Q937">
        <v>22</v>
      </c>
      <c r="R937">
        <v>746</v>
      </c>
      <c r="S937">
        <v>5754.78</v>
      </c>
      <c r="T937" t="s">
        <v>30</v>
      </c>
    </row>
    <row r="938" spans="1:20" x14ac:dyDescent="0.35">
      <c r="A938" t="s">
        <v>3382</v>
      </c>
      <c r="B938" t="s">
        <v>3383</v>
      </c>
      <c r="C938" t="s">
        <v>3384</v>
      </c>
      <c r="D938">
        <v>44596</v>
      </c>
      <c r="E938" t="s">
        <v>23</v>
      </c>
      <c r="F938">
        <v>5863.61</v>
      </c>
      <c r="G938">
        <v>31319.83</v>
      </c>
      <c r="H938" t="s">
        <v>125</v>
      </c>
      <c r="I938">
        <v>48</v>
      </c>
      <c r="J938" t="s">
        <v>42</v>
      </c>
      <c r="K938" t="s">
        <v>50</v>
      </c>
      <c r="L938" t="s">
        <v>3385</v>
      </c>
      <c r="M938" t="s">
        <v>28</v>
      </c>
      <c r="N938" t="s">
        <v>29</v>
      </c>
      <c r="O938">
        <v>1.69</v>
      </c>
      <c r="P938">
        <v>9205.43</v>
      </c>
      <c r="Q938">
        <v>25</v>
      </c>
      <c r="R938">
        <v>428</v>
      </c>
      <c r="S938">
        <v>7317.1</v>
      </c>
      <c r="T938" t="s">
        <v>30</v>
      </c>
    </row>
    <row r="939" spans="1:20" x14ac:dyDescent="0.35">
      <c r="A939" t="s">
        <v>3386</v>
      </c>
      <c r="B939" t="s">
        <v>3387</v>
      </c>
      <c r="C939" t="s">
        <v>3388</v>
      </c>
      <c r="D939">
        <v>44938</v>
      </c>
      <c r="E939" t="s">
        <v>34</v>
      </c>
      <c r="F939">
        <v>2123.96</v>
      </c>
      <c r="G939">
        <v>33602.9</v>
      </c>
      <c r="H939" t="s">
        <v>24</v>
      </c>
      <c r="I939">
        <v>28</v>
      </c>
      <c r="J939" t="s">
        <v>25</v>
      </c>
      <c r="K939" t="s">
        <v>36</v>
      </c>
      <c r="L939" t="s">
        <v>257</v>
      </c>
      <c r="M939" t="s">
        <v>52</v>
      </c>
      <c r="N939" t="s">
        <v>62</v>
      </c>
      <c r="O939">
        <v>2.4300000000000002</v>
      </c>
      <c r="P939">
        <v>36806.879999999997</v>
      </c>
      <c r="Q939">
        <v>18</v>
      </c>
      <c r="R939">
        <v>570</v>
      </c>
      <c r="S939">
        <v>8811.66</v>
      </c>
      <c r="T939" t="s">
        <v>63</v>
      </c>
    </row>
    <row r="940" spans="1:20" x14ac:dyDescent="0.35">
      <c r="A940" t="s">
        <v>3389</v>
      </c>
      <c r="B940" t="s">
        <v>3390</v>
      </c>
      <c r="C940" t="s">
        <v>3391</v>
      </c>
      <c r="D940">
        <v>44991</v>
      </c>
      <c r="E940" t="s">
        <v>23</v>
      </c>
      <c r="F940">
        <v>5245.07</v>
      </c>
      <c r="G940">
        <v>25534.84</v>
      </c>
      <c r="H940" t="s">
        <v>100</v>
      </c>
      <c r="I940">
        <v>62</v>
      </c>
      <c r="J940" t="s">
        <v>42</v>
      </c>
      <c r="K940" t="s">
        <v>26</v>
      </c>
      <c r="L940" t="s">
        <v>1305</v>
      </c>
      <c r="M940" t="s">
        <v>38</v>
      </c>
      <c r="N940" t="s">
        <v>44</v>
      </c>
      <c r="O940">
        <v>3.92</v>
      </c>
      <c r="Q940">
        <v>13</v>
      </c>
      <c r="R940">
        <v>388</v>
      </c>
      <c r="S940">
        <v>3753.37</v>
      </c>
      <c r="T940" t="s">
        <v>30</v>
      </c>
    </row>
    <row r="941" spans="1:20" x14ac:dyDescent="0.35">
      <c r="A941" t="s">
        <v>3392</v>
      </c>
      <c r="B941" t="s">
        <v>3393</v>
      </c>
      <c r="C941" t="s">
        <v>3394</v>
      </c>
      <c r="D941">
        <v>44995</v>
      </c>
      <c r="E941" t="s">
        <v>34</v>
      </c>
      <c r="F941">
        <v>833.02</v>
      </c>
      <c r="G941">
        <v>32598.2</v>
      </c>
      <c r="H941" t="s">
        <v>125</v>
      </c>
      <c r="I941">
        <v>24</v>
      </c>
      <c r="J941" t="s">
        <v>42</v>
      </c>
      <c r="K941" t="s">
        <v>50</v>
      </c>
      <c r="L941" t="s">
        <v>3395</v>
      </c>
      <c r="M941" t="s">
        <v>38</v>
      </c>
      <c r="N941" t="s">
        <v>44</v>
      </c>
      <c r="O941">
        <v>4.8600000000000003</v>
      </c>
      <c r="Q941">
        <v>10</v>
      </c>
      <c r="R941">
        <v>765</v>
      </c>
      <c r="S941">
        <v>2337.77</v>
      </c>
      <c r="T941" t="s">
        <v>63</v>
      </c>
    </row>
    <row r="942" spans="1:20" x14ac:dyDescent="0.35">
      <c r="A942" t="s">
        <v>3396</v>
      </c>
      <c r="B942" t="s">
        <v>3397</v>
      </c>
      <c r="C942" t="s">
        <v>3398</v>
      </c>
      <c r="D942">
        <v>44877</v>
      </c>
      <c r="E942" t="s">
        <v>71</v>
      </c>
      <c r="F942">
        <v>6094.28</v>
      </c>
      <c r="G942">
        <v>2153.09</v>
      </c>
      <c r="H942" t="s">
        <v>24</v>
      </c>
      <c r="I942">
        <v>62</v>
      </c>
      <c r="J942" t="s">
        <v>25</v>
      </c>
      <c r="K942" t="s">
        <v>50</v>
      </c>
      <c r="L942" t="s">
        <v>524</v>
      </c>
      <c r="M942" t="s">
        <v>52</v>
      </c>
      <c r="N942" t="s">
        <v>29</v>
      </c>
      <c r="O942">
        <v>1.62</v>
      </c>
      <c r="P942">
        <v>5705.26</v>
      </c>
      <c r="Q942">
        <v>24</v>
      </c>
      <c r="R942">
        <v>469</v>
      </c>
      <c r="S942">
        <v>3986.48</v>
      </c>
      <c r="T942" t="s">
        <v>63</v>
      </c>
    </row>
    <row r="943" spans="1:20" x14ac:dyDescent="0.35">
      <c r="A943" t="s">
        <v>3399</v>
      </c>
      <c r="B943" t="s">
        <v>3400</v>
      </c>
      <c r="C943" t="s">
        <v>3401</v>
      </c>
      <c r="D943">
        <v>44814</v>
      </c>
      <c r="E943" t="s">
        <v>56</v>
      </c>
      <c r="F943">
        <v>5216.22</v>
      </c>
      <c r="G943">
        <v>22051.52</v>
      </c>
      <c r="H943" t="s">
        <v>100</v>
      </c>
      <c r="I943">
        <v>19</v>
      </c>
      <c r="J943" t="s">
        <v>25</v>
      </c>
      <c r="K943" t="s">
        <v>36</v>
      </c>
      <c r="L943" t="s">
        <v>3402</v>
      </c>
      <c r="M943" t="s">
        <v>28</v>
      </c>
      <c r="N943" t="s">
        <v>62</v>
      </c>
      <c r="O943">
        <v>1.91</v>
      </c>
      <c r="P943">
        <v>23809.919999999998</v>
      </c>
      <c r="R943">
        <v>427</v>
      </c>
      <c r="S943">
        <v>10149.1</v>
      </c>
      <c r="T943" t="s">
        <v>63</v>
      </c>
    </row>
    <row r="944" spans="1:20" x14ac:dyDescent="0.35">
      <c r="A944" t="s">
        <v>3403</v>
      </c>
      <c r="B944" t="s">
        <v>3404</v>
      </c>
      <c r="C944" t="s">
        <v>3405</v>
      </c>
      <c r="D944">
        <v>44903</v>
      </c>
      <c r="E944" t="s">
        <v>34</v>
      </c>
      <c r="F944">
        <v>7427.6</v>
      </c>
      <c r="G944">
        <v>14667.97</v>
      </c>
      <c r="H944" t="s">
        <v>125</v>
      </c>
      <c r="I944">
        <v>23</v>
      </c>
      <c r="J944" t="s">
        <v>25</v>
      </c>
      <c r="K944" t="s">
        <v>50</v>
      </c>
      <c r="L944" t="s">
        <v>3406</v>
      </c>
      <c r="M944" t="s">
        <v>38</v>
      </c>
      <c r="N944" t="s">
        <v>62</v>
      </c>
      <c r="O944">
        <v>1.9</v>
      </c>
      <c r="Q944">
        <v>27</v>
      </c>
      <c r="R944">
        <v>473</v>
      </c>
      <c r="S944">
        <v>2957.04</v>
      </c>
      <c r="T944" t="s">
        <v>30</v>
      </c>
    </row>
    <row r="945" spans="1:20" x14ac:dyDescent="0.35">
      <c r="A945" t="s">
        <v>3407</v>
      </c>
      <c r="B945" t="s">
        <v>3408</v>
      </c>
      <c r="C945" t="s">
        <v>3409</v>
      </c>
      <c r="D945">
        <v>45018</v>
      </c>
      <c r="E945" t="s">
        <v>71</v>
      </c>
      <c r="F945">
        <v>6343.93</v>
      </c>
      <c r="G945">
        <v>7329.55</v>
      </c>
      <c r="H945" t="s">
        <v>49</v>
      </c>
      <c r="I945">
        <v>58</v>
      </c>
      <c r="J945" t="s">
        <v>25</v>
      </c>
      <c r="K945" t="s">
        <v>36</v>
      </c>
      <c r="L945" t="s">
        <v>3410</v>
      </c>
      <c r="M945" t="s">
        <v>38</v>
      </c>
      <c r="N945" t="s">
        <v>29</v>
      </c>
      <c r="O945">
        <v>1.08</v>
      </c>
      <c r="R945">
        <v>325</v>
      </c>
      <c r="S945">
        <v>4466.05</v>
      </c>
      <c r="T945" t="s">
        <v>63</v>
      </c>
    </row>
    <row r="946" spans="1:20" x14ac:dyDescent="0.35">
      <c r="A946" t="s">
        <v>3411</v>
      </c>
      <c r="B946" t="s">
        <v>3412</v>
      </c>
      <c r="C946" t="s">
        <v>3413</v>
      </c>
      <c r="D946">
        <v>44761</v>
      </c>
      <c r="E946" t="s">
        <v>23</v>
      </c>
      <c r="F946">
        <v>5541.1</v>
      </c>
      <c r="G946">
        <v>5877.78</v>
      </c>
      <c r="H946" t="s">
        <v>49</v>
      </c>
      <c r="I946">
        <v>49</v>
      </c>
      <c r="J946" t="s">
        <v>42</v>
      </c>
      <c r="K946" t="s">
        <v>26</v>
      </c>
      <c r="L946" t="s">
        <v>1973</v>
      </c>
      <c r="M946" t="s">
        <v>38</v>
      </c>
      <c r="N946" t="s">
        <v>62</v>
      </c>
      <c r="O946">
        <v>3.42</v>
      </c>
      <c r="P946">
        <v>17029.830000000002</v>
      </c>
      <c r="R946">
        <v>810</v>
      </c>
      <c r="S946">
        <v>6392.1</v>
      </c>
      <c r="T946" t="s">
        <v>45</v>
      </c>
    </row>
    <row r="947" spans="1:20" x14ac:dyDescent="0.35">
      <c r="A947" t="s">
        <v>3414</v>
      </c>
      <c r="B947" t="s">
        <v>3415</v>
      </c>
      <c r="C947" t="s">
        <v>3416</v>
      </c>
      <c r="D947">
        <v>45066</v>
      </c>
      <c r="E947" t="s">
        <v>34</v>
      </c>
      <c r="F947">
        <v>6928.81</v>
      </c>
      <c r="G947">
        <v>30556.42</v>
      </c>
      <c r="H947" t="s">
        <v>49</v>
      </c>
      <c r="I947">
        <v>37</v>
      </c>
      <c r="J947" t="s">
        <v>25</v>
      </c>
      <c r="K947" t="s">
        <v>26</v>
      </c>
      <c r="L947" t="s">
        <v>2059</v>
      </c>
      <c r="M947" t="s">
        <v>28</v>
      </c>
      <c r="N947" t="s">
        <v>29</v>
      </c>
      <c r="O947">
        <v>3.68</v>
      </c>
      <c r="P947">
        <v>33370.620000000003</v>
      </c>
      <c r="R947">
        <v>787</v>
      </c>
      <c r="S947">
        <v>3012.31</v>
      </c>
      <c r="T947" t="s">
        <v>45</v>
      </c>
    </row>
    <row r="948" spans="1:20" x14ac:dyDescent="0.35">
      <c r="A948" t="s">
        <v>3417</v>
      </c>
      <c r="B948" t="s">
        <v>3418</v>
      </c>
      <c r="C948" t="s">
        <v>3419</v>
      </c>
      <c r="D948">
        <v>44720</v>
      </c>
      <c r="E948" t="s">
        <v>56</v>
      </c>
      <c r="F948">
        <v>1525.02</v>
      </c>
      <c r="G948">
        <v>26656.43</v>
      </c>
      <c r="H948" t="s">
        <v>24</v>
      </c>
      <c r="I948">
        <v>51</v>
      </c>
      <c r="J948" t="s">
        <v>42</v>
      </c>
      <c r="K948" t="s">
        <v>50</v>
      </c>
      <c r="L948" t="s">
        <v>2543</v>
      </c>
      <c r="M948" t="s">
        <v>38</v>
      </c>
      <c r="N948" t="s">
        <v>29</v>
      </c>
      <c r="O948">
        <v>3.41</v>
      </c>
      <c r="P948">
        <v>28845.98</v>
      </c>
      <c r="Q948">
        <v>27</v>
      </c>
      <c r="R948">
        <v>705</v>
      </c>
      <c r="S948">
        <v>4492.09</v>
      </c>
      <c r="T948" t="s">
        <v>30</v>
      </c>
    </row>
    <row r="949" spans="1:20" x14ac:dyDescent="0.35">
      <c r="A949" t="s">
        <v>3420</v>
      </c>
      <c r="B949" t="s">
        <v>3421</v>
      </c>
      <c r="C949" t="s">
        <v>3422</v>
      </c>
      <c r="D949">
        <v>45023</v>
      </c>
      <c r="E949" t="s">
        <v>23</v>
      </c>
      <c r="F949">
        <v>5994.06</v>
      </c>
      <c r="G949">
        <v>13425.62</v>
      </c>
      <c r="H949" t="s">
        <v>49</v>
      </c>
      <c r="I949">
        <v>67</v>
      </c>
      <c r="J949" t="s">
        <v>25</v>
      </c>
      <c r="K949" t="s">
        <v>26</v>
      </c>
      <c r="L949" t="s">
        <v>3423</v>
      </c>
      <c r="M949" t="s">
        <v>52</v>
      </c>
      <c r="N949" t="s">
        <v>29</v>
      </c>
      <c r="O949">
        <v>1.29</v>
      </c>
      <c r="P949">
        <v>8104.43</v>
      </c>
      <c r="Q949">
        <v>20</v>
      </c>
      <c r="R949">
        <v>325</v>
      </c>
      <c r="S949">
        <v>13846.51</v>
      </c>
      <c r="T949" t="s">
        <v>63</v>
      </c>
    </row>
    <row r="950" spans="1:20" x14ac:dyDescent="0.35">
      <c r="A950" t="s">
        <v>3424</v>
      </c>
      <c r="B950" t="s">
        <v>3425</v>
      </c>
      <c r="C950" t="s">
        <v>3426</v>
      </c>
      <c r="D950">
        <v>44846</v>
      </c>
      <c r="E950" t="s">
        <v>23</v>
      </c>
      <c r="F950">
        <v>1803.89</v>
      </c>
      <c r="G950">
        <v>24076.55</v>
      </c>
      <c r="H950" t="s">
        <v>35</v>
      </c>
      <c r="I950">
        <v>33</v>
      </c>
      <c r="J950" t="s">
        <v>42</v>
      </c>
      <c r="K950" t="s">
        <v>26</v>
      </c>
      <c r="L950" t="s">
        <v>1161</v>
      </c>
      <c r="M950" t="s">
        <v>28</v>
      </c>
      <c r="N950" t="s">
        <v>44</v>
      </c>
      <c r="O950">
        <v>1.28</v>
      </c>
      <c r="R950">
        <v>382</v>
      </c>
      <c r="S950">
        <v>2250.89</v>
      </c>
      <c r="T950" t="s">
        <v>45</v>
      </c>
    </row>
    <row r="951" spans="1:20" x14ac:dyDescent="0.35">
      <c r="A951" t="s">
        <v>3427</v>
      </c>
      <c r="B951" t="s">
        <v>3428</v>
      </c>
      <c r="C951" t="s">
        <v>3429</v>
      </c>
      <c r="D951">
        <v>44792</v>
      </c>
      <c r="E951" t="s">
        <v>71</v>
      </c>
      <c r="F951">
        <v>9262.67</v>
      </c>
      <c r="G951">
        <v>25119.38</v>
      </c>
      <c r="H951" t="s">
        <v>100</v>
      </c>
      <c r="I951">
        <v>42</v>
      </c>
      <c r="J951" t="s">
        <v>25</v>
      </c>
      <c r="K951" t="s">
        <v>50</v>
      </c>
      <c r="L951" t="s">
        <v>422</v>
      </c>
      <c r="M951" t="s">
        <v>52</v>
      </c>
      <c r="N951" t="s">
        <v>44</v>
      </c>
      <c r="O951">
        <v>1.84</v>
      </c>
      <c r="Q951">
        <v>11</v>
      </c>
      <c r="R951">
        <v>663</v>
      </c>
      <c r="S951">
        <v>10494.62</v>
      </c>
      <c r="T951" t="s">
        <v>30</v>
      </c>
    </row>
    <row r="952" spans="1:20" x14ac:dyDescent="0.35">
      <c r="A952" t="s">
        <v>3430</v>
      </c>
      <c r="B952" t="s">
        <v>3431</v>
      </c>
      <c r="C952" t="s">
        <v>3432</v>
      </c>
      <c r="D952">
        <v>44587</v>
      </c>
      <c r="E952" t="s">
        <v>34</v>
      </c>
      <c r="F952">
        <v>776.51</v>
      </c>
      <c r="G952">
        <v>10555.44</v>
      </c>
      <c r="H952" t="s">
        <v>24</v>
      </c>
      <c r="I952">
        <v>29</v>
      </c>
      <c r="J952" t="s">
        <v>25</v>
      </c>
      <c r="K952" t="s">
        <v>26</v>
      </c>
      <c r="L952" t="s">
        <v>3339</v>
      </c>
      <c r="M952" t="s">
        <v>52</v>
      </c>
      <c r="N952" t="s">
        <v>44</v>
      </c>
      <c r="O952">
        <v>2.16</v>
      </c>
      <c r="Q952">
        <v>6</v>
      </c>
      <c r="R952">
        <v>666</v>
      </c>
      <c r="S952">
        <v>6997.32</v>
      </c>
      <c r="T952" t="s">
        <v>30</v>
      </c>
    </row>
    <row r="953" spans="1:20" x14ac:dyDescent="0.35">
      <c r="A953" t="s">
        <v>3433</v>
      </c>
      <c r="B953" t="s">
        <v>3434</v>
      </c>
      <c r="C953" t="s">
        <v>3435</v>
      </c>
      <c r="D953">
        <v>45010</v>
      </c>
      <c r="E953" t="s">
        <v>23</v>
      </c>
      <c r="F953">
        <v>4360.71</v>
      </c>
      <c r="G953">
        <v>32952.559999999998</v>
      </c>
      <c r="H953" t="s">
        <v>49</v>
      </c>
      <c r="I953">
        <v>24</v>
      </c>
      <c r="J953" t="s">
        <v>42</v>
      </c>
      <c r="K953" t="s">
        <v>50</v>
      </c>
      <c r="L953" t="s">
        <v>3187</v>
      </c>
      <c r="M953" t="s">
        <v>38</v>
      </c>
      <c r="N953" t="s">
        <v>29</v>
      </c>
      <c r="O953">
        <v>4.1500000000000004</v>
      </c>
      <c r="P953">
        <v>10505.24</v>
      </c>
      <c r="R953">
        <v>359</v>
      </c>
      <c r="S953">
        <v>10744.43</v>
      </c>
      <c r="T953" t="s">
        <v>30</v>
      </c>
    </row>
    <row r="954" spans="1:20" x14ac:dyDescent="0.35">
      <c r="A954" t="s">
        <v>3436</v>
      </c>
      <c r="B954" t="s">
        <v>3437</v>
      </c>
      <c r="C954" t="s">
        <v>3438</v>
      </c>
      <c r="D954">
        <v>45104</v>
      </c>
      <c r="E954" t="s">
        <v>56</v>
      </c>
      <c r="F954">
        <v>6988.4</v>
      </c>
      <c r="G954">
        <v>39265.050000000003</v>
      </c>
      <c r="H954" t="s">
        <v>100</v>
      </c>
      <c r="I954">
        <v>56</v>
      </c>
      <c r="J954" t="s">
        <v>42</v>
      </c>
      <c r="K954" t="s">
        <v>36</v>
      </c>
      <c r="L954" t="s">
        <v>3439</v>
      </c>
      <c r="M954" t="s">
        <v>38</v>
      </c>
      <c r="N954" t="s">
        <v>44</v>
      </c>
      <c r="O954">
        <v>1.64</v>
      </c>
      <c r="Q954">
        <v>1</v>
      </c>
      <c r="R954">
        <v>591</v>
      </c>
      <c r="S954">
        <v>9652.99</v>
      </c>
      <c r="T954" t="s">
        <v>30</v>
      </c>
    </row>
    <row r="955" spans="1:20" x14ac:dyDescent="0.35">
      <c r="A955" t="s">
        <v>3440</v>
      </c>
      <c r="B955" t="s">
        <v>128</v>
      </c>
      <c r="C955" t="s">
        <v>3441</v>
      </c>
      <c r="D955">
        <v>44674</v>
      </c>
      <c r="E955" t="s">
        <v>34</v>
      </c>
      <c r="F955">
        <v>4634.42</v>
      </c>
      <c r="G955">
        <v>39781.71</v>
      </c>
      <c r="H955" t="s">
        <v>125</v>
      </c>
      <c r="I955">
        <v>34</v>
      </c>
      <c r="J955" t="s">
        <v>42</v>
      </c>
      <c r="K955" t="s">
        <v>36</v>
      </c>
      <c r="L955" t="s">
        <v>1947</v>
      </c>
      <c r="M955" t="s">
        <v>38</v>
      </c>
      <c r="N955" t="s">
        <v>44</v>
      </c>
      <c r="O955">
        <v>1.18</v>
      </c>
      <c r="Q955">
        <v>19</v>
      </c>
      <c r="R955">
        <v>490</v>
      </c>
      <c r="S955">
        <v>4905.4799999999996</v>
      </c>
      <c r="T955" t="s">
        <v>30</v>
      </c>
    </row>
    <row r="956" spans="1:20" x14ac:dyDescent="0.35">
      <c r="A956" t="s">
        <v>3442</v>
      </c>
      <c r="B956" t="s">
        <v>3443</v>
      </c>
      <c r="C956" t="s">
        <v>3444</v>
      </c>
      <c r="D956">
        <v>44662</v>
      </c>
      <c r="E956" t="s">
        <v>56</v>
      </c>
      <c r="F956">
        <v>1011.74</v>
      </c>
      <c r="G956">
        <v>30521.02</v>
      </c>
      <c r="H956" t="s">
        <v>49</v>
      </c>
      <c r="I956">
        <v>62</v>
      </c>
      <c r="J956" t="s">
        <v>25</v>
      </c>
      <c r="K956" t="s">
        <v>36</v>
      </c>
      <c r="L956" t="s">
        <v>469</v>
      </c>
      <c r="M956" t="s">
        <v>52</v>
      </c>
      <c r="N956" t="s">
        <v>44</v>
      </c>
      <c r="O956">
        <v>2.58</v>
      </c>
      <c r="P956">
        <v>19002.509999999998</v>
      </c>
      <c r="Q956">
        <v>7</v>
      </c>
      <c r="R956">
        <v>760</v>
      </c>
      <c r="S956">
        <v>13013.72</v>
      </c>
      <c r="T956" t="s">
        <v>63</v>
      </c>
    </row>
    <row r="957" spans="1:20" x14ac:dyDescent="0.35">
      <c r="A957" t="s">
        <v>3445</v>
      </c>
      <c r="B957" t="s">
        <v>3446</v>
      </c>
      <c r="C957" t="s">
        <v>3447</v>
      </c>
      <c r="D957">
        <v>44737</v>
      </c>
      <c r="E957" t="s">
        <v>23</v>
      </c>
      <c r="F957">
        <v>5578.45</v>
      </c>
      <c r="G957">
        <v>26070.29</v>
      </c>
      <c r="H957" t="s">
        <v>100</v>
      </c>
      <c r="I957">
        <v>28</v>
      </c>
      <c r="J957" t="s">
        <v>42</v>
      </c>
      <c r="K957" t="s">
        <v>50</v>
      </c>
      <c r="L957" t="s">
        <v>3448</v>
      </c>
      <c r="M957" t="s">
        <v>28</v>
      </c>
      <c r="N957" t="s">
        <v>29</v>
      </c>
      <c r="O957">
        <v>2.67</v>
      </c>
      <c r="P957">
        <v>27066.11</v>
      </c>
      <c r="Q957">
        <v>24</v>
      </c>
      <c r="R957">
        <v>532</v>
      </c>
      <c r="S957">
        <v>8395.2199999999993</v>
      </c>
      <c r="T957" t="s">
        <v>63</v>
      </c>
    </row>
    <row r="958" spans="1:20" x14ac:dyDescent="0.35">
      <c r="A958" t="s">
        <v>3449</v>
      </c>
      <c r="B958" t="s">
        <v>3450</v>
      </c>
      <c r="C958" t="s">
        <v>3451</v>
      </c>
      <c r="D958">
        <v>44686</v>
      </c>
      <c r="E958" t="s">
        <v>56</v>
      </c>
      <c r="F958">
        <v>6452.16</v>
      </c>
      <c r="G958">
        <v>3989.35</v>
      </c>
      <c r="H958" t="s">
        <v>35</v>
      </c>
      <c r="I958">
        <v>23</v>
      </c>
      <c r="J958" t="s">
        <v>42</v>
      </c>
      <c r="K958" t="s">
        <v>50</v>
      </c>
      <c r="L958" t="s">
        <v>3452</v>
      </c>
      <c r="M958" t="s">
        <v>38</v>
      </c>
      <c r="N958" t="s">
        <v>29</v>
      </c>
      <c r="O958">
        <v>2.8</v>
      </c>
      <c r="P958">
        <v>39773.49</v>
      </c>
      <c r="R958">
        <v>773</v>
      </c>
      <c r="S958">
        <v>12692.97</v>
      </c>
      <c r="T958" t="s">
        <v>63</v>
      </c>
    </row>
    <row r="959" spans="1:20" x14ac:dyDescent="0.35">
      <c r="A959" t="s">
        <v>3453</v>
      </c>
      <c r="B959" t="s">
        <v>3454</v>
      </c>
      <c r="C959" t="s">
        <v>3455</v>
      </c>
      <c r="D959">
        <v>44565</v>
      </c>
      <c r="E959" t="s">
        <v>71</v>
      </c>
      <c r="F959">
        <v>7067.54</v>
      </c>
      <c r="G959">
        <v>15103.73</v>
      </c>
      <c r="H959" t="s">
        <v>125</v>
      </c>
      <c r="I959">
        <v>40</v>
      </c>
      <c r="J959" t="s">
        <v>42</v>
      </c>
      <c r="K959" t="s">
        <v>26</v>
      </c>
      <c r="L959" t="s">
        <v>3456</v>
      </c>
      <c r="M959" t="s">
        <v>38</v>
      </c>
      <c r="N959" t="s">
        <v>29</v>
      </c>
      <c r="O959">
        <v>4.3099999999999996</v>
      </c>
      <c r="P959">
        <v>12577.34</v>
      </c>
      <c r="R959">
        <v>704</v>
      </c>
      <c r="S959">
        <v>7278.16</v>
      </c>
      <c r="T959" t="s">
        <v>63</v>
      </c>
    </row>
    <row r="960" spans="1:20" x14ac:dyDescent="0.35">
      <c r="A960" t="s">
        <v>3457</v>
      </c>
      <c r="B960" t="s">
        <v>3458</v>
      </c>
      <c r="C960" t="s">
        <v>3459</v>
      </c>
      <c r="D960">
        <v>44866</v>
      </c>
      <c r="E960" t="s">
        <v>56</v>
      </c>
      <c r="F960">
        <v>3795.27</v>
      </c>
      <c r="G960">
        <v>5570.3</v>
      </c>
      <c r="H960" t="s">
        <v>35</v>
      </c>
      <c r="I960">
        <v>44</v>
      </c>
      <c r="J960" t="s">
        <v>42</v>
      </c>
      <c r="K960" t="s">
        <v>26</v>
      </c>
      <c r="L960" t="s">
        <v>1778</v>
      </c>
      <c r="M960" t="s">
        <v>52</v>
      </c>
      <c r="N960" t="s">
        <v>44</v>
      </c>
      <c r="O960">
        <v>1.39</v>
      </c>
      <c r="P960">
        <v>39537.31</v>
      </c>
      <c r="Q960">
        <v>20</v>
      </c>
      <c r="R960">
        <v>570</v>
      </c>
      <c r="S960">
        <v>14800.91</v>
      </c>
      <c r="T960" t="s">
        <v>30</v>
      </c>
    </row>
    <row r="961" spans="1:20" x14ac:dyDescent="0.35">
      <c r="A961" t="s">
        <v>3460</v>
      </c>
      <c r="B961" t="s">
        <v>3461</v>
      </c>
      <c r="C961" t="s">
        <v>3462</v>
      </c>
      <c r="D961">
        <v>44985</v>
      </c>
      <c r="E961" t="s">
        <v>34</v>
      </c>
      <c r="F961">
        <v>5680.23</v>
      </c>
      <c r="G961">
        <v>48227.33</v>
      </c>
      <c r="H961" t="s">
        <v>100</v>
      </c>
      <c r="I961">
        <v>63</v>
      </c>
      <c r="J961" t="s">
        <v>42</v>
      </c>
      <c r="K961" t="s">
        <v>26</v>
      </c>
      <c r="L961" t="s">
        <v>2105</v>
      </c>
      <c r="M961" t="s">
        <v>28</v>
      </c>
      <c r="N961" t="s">
        <v>62</v>
      </c>
      <c r="O961">
        <v>3.82</v>
      </c>
      <c r="P961">
        <v>38725.11</v>
      </c>
      <c r="Q961">
        <v>11</v>
      </c>
      <c r="R961">
        <v>433</v>
      </c>
      <c r="S961">
        <v>12016.36</v>
      </c>
      <c r="T961" t="s">
        <v>30</v>
      </c>
    </row>
    <row r="962" spans="1:20" x14ac:dyDescent="0.35">
      <c r="A962" t="s">
        <v>3463</v>
      </c>
      <c r="B962" t="s">
        <v>3464</v>
      </c>
      <c r="C962" t="s">
        <v>3465</v>
      </c>
      <c r="D962">
        <v>44659</v>
      </c>
      <c r="E962" t="s">
        <v>56</v>
      </c>
      <c r="F962">
        <v>4561.8</v>
      </c>
      <c r="G962">
        <v>7618.93</v>
      </c>
      <c r="H962" t="s">
        <v>35</v>
      </c>
      <c r="I962">
        <v>23</v>
      </c>
      <c r="J962" t="s">
        <v>42</v>
      </c>
      <c r="K962" t="s">
        <v>26</v>
      </c>
      <c r="L962" t="s">
        <v>1097</v>
      </c>
      <c r="M962" t="s">
        <v>52</v>
      </c>
      <c r="N962" t="s">
        <v>44</v>
      </c>
      <c r="O962">
        <v>2.35</v>
      </c>
      <c r="Q962">
        <v>5</v>
      </c>
      <c r="R962">
        <v>470</v>
      </c>
      <c r="S962">
        <v>14557.35</v>
      </c>
      <c r="T962" t="s">
        <v>45</v>
      </c>
    </row>
    <row r="963" spans="1:20" x14ac:dyDescent="0.35">
      <c r="A963" t="s">
        <v>3466</v>
      </c>
      <c r="B963" t="s">
        <v>3467</v>
      </c>
      <c r="C963" t="s">
        <v>3468</v>
      </c>
      <c r="D963">
        <v>44679</v>
      </c>
      <c r="E963" t="s">
        <v>56</v>
      </c>
      <c r="F963">
        <v>6753.35</v>
      </c>
      <c r="G963">
        <v>8437</v>
      </c>
      <c r="H963" t="s">
        <v>100</v>
      </c>
      <c r="I963">
        <v>55</v>
      </c>
      <c r="J963" t="s">
        <v>42</v>
      </c>
      <c r="K963" t="s">
        <v>26</v>
      </c>
      <c r="L963" t="s">
        <v>72</v>
      </c>
      <c r="M963" t="s">
        <v>38</v>
      </c>
      <c r="N963" t="s">
        <v>44</v>
      </c>
      <c r="O963">
        <v>2.2400000000000002</v>
      </c>
      <c r="R963">
        <v>714</v>
      </c>
      <c r="S963">
        <v>8686.24</v>
      </c>
      <c r="T963" t="s">
        <v>45</v>
      </c>
    </row>
    <row r="964" spans="1:20" x14ac:dyDescent="0.35">
      <c r="A964" t="s">
        <v>3469</v>
      </c>
      <c r="B964" t="s">
        <v>3470</v>
      </c>
      <c r="C964" t="s">
        <v>3471</v>
      </c>
      <c r="D964">
        <v>44614</v>
      </c>
      <c r="E964" t="s">
        <v>71</v>
      </c>
      <c r="F964">
        <v>5877.21</v>
      </c>
      <c r="G964">
        <v>44589.25</v>
      </c>
      <c r="H964" t="s">
        <v>100</v>
      </c>
      <c r="I964">
        <v>19</v>
      </c>
      <c r="J964" t="s">
        <v>42</v>
      </c>
      <c r="K964" t="s">
        <v>50</v>
      </c>
      <c r="L964" t="s">
        <v>3472</v>
      </c>
      <c r="M964" t="s">
        <v>52</v>
      </c>
      <c r="N964" t="s">
        <v>29</v>
      </c>
      <c r="O964">
        <v>4.7300000000000004</v>
      </c>
      <c r="Q964">
        <v>21</v>
      </c>
      <c r="R964">
        <v>327</v>
      </c>
      <c r="S964">
        <v>8157.98</v>
      </c>
      <c r="T964" t="s">
        <v>63</v>
      </c>
    </row>
    <row r="965" spans="1:20" x14ac:dyDescent="0.35">
      <c r="A965" t="s">
        <v>3473</v>
      </c>
      <c r="B965" t="s">
        <v>3474</v>
      </c>
      <c r="C965" t="s">
        <v>3475</v>
      </c>
      <c r="D965">
        <v>44975</v>
      </c>
      <c r="E965" t="s">
        <v>56</v>
      </c>
      <c r="F965">
        <v>5304.99</v>
      </c>
      <c r="G965">
        <v>47252.49</v>
      </c>
      <c r="H965" t="s">
        <v>35</v>
      </c>
      <c r="I965">
        <v>39</v>
      </c>
      <c r="J965" t="s">
        <v>42</v>
      </c>
      <c r="K965" t="s">
        <v>50</v>
      </c>
      <c r="L965" t="s">
        <v>3366</v>
      </c>
      <c r="M965" t="s">
        <v>38</v>
      </c>
      <c r="N965" t="s">
        <v>29</v>
      </c>
      <c r="O965">
        <v>1.99</v>
      </c>
      <c r="Q965">
        <v>24</v>
      </c>
      <c r="R965">
        <v>435</v>
      </c>
      <c r="S965">
        <v>11820.9</v>
      </c>
      <c r="T965" t="s">
        <v>30</v>
      </c>
    </row>
    <row r="966" spans="1:20" x14ac:dyDescent="0.35">
      <c r="A966" t="s">
        <v>3476</v>
      </c>
      <c r="B966" t="s">
        <v>3477</v>
      </c>
      <c r="C966" t="s">
        <v>3478</v>
      </c>
      <c r="D966">
        <v>45046</v>
      </c>
      <c r="E966" t="s">
        <v>56</v>
      </c>
      <c r="F966">
        <v>2570.29</v>
      </c>
      <c r="G966">
        <v>38525.620000000003</v>
      </c>
      <c r="H966" t="s">
        <v>100</v>
      </c>
      <c r="I966">
        <v>37</v>
      </c>
      <c r="J966" t="s">
        <v>25</v>
      </c>
      <c r="K966" t="s">
        <v>36</v>
      </c>
      <c r="L966" t="s">
        <v>1453</v>
      </c>
      <c r="M966" t="s">
        <v>28</v>
      </c>
      <c r="N966" t="s">
        <v>44</v>
      </c>
      <c r="O966">
        <v>3.57</v>
      </c>
      <c r="R966">
        <v>704</v>
      </c>
      <c r="S966">
        <v>13443.79</v>
      </c>
      <c r="T966" t="s">
        <v>45</v>
      </c>
    </row>
    <row r="967" spans="1:20" x14ac:dyDescent="0.35">
      <c r="A967" t="s">
        <v>3479</v>
      </c>
      <c r="B967" t="s">
        <v>1624</v>
      </c>
      <c r="C967" t="s">
        <v>3480</v>
      </c>
      <c r="D967">
        <v>45084</v>
      </c>
      <c r="E967" t="s">
        <v>23</v>
      </c>
      <c r="F967">
        <v>119.98</v>
      </c>
      <c r="G967">
        <v>1264.8399999999999</v>
      </c>
      <c r="H967" t="s">
        <v>49</v>
      </c>
      <c r="I967">
        <v>42</v>
      </c>
      <c r="J967" t="s">
        <v>25</v>
      </c>
      <c r="K967" t="s">
        <v>36</v>
      </c>
      <c r="L967" t="s">
        <v>182</v>
      </c>
      <c r="M967" t="s">
        <v>52</v>
      </c>
      <c r="N967" t="s">
        <v>44</v>
      </c>
      <c r="O967">
        <v>2.1</v>
      </c>
      <c r="Q967">
        <v>2</v>
      </c>
      <c r="R967">
        <v>804</v>
      </c>
      <c r="S967">
        <v>14533.9</v>
      </c>
      <c r="T967" t="s">
        <v>45</v>
      </c>
    </row>
    <row r="968" spans="1:20" x14ac:dyDescent="0.35">
      <c r="A968" t="s">
        <v>3481</v>
      </c>
      <c r="B968" t="s">
        <v>3482</v>
      </c>
      <c r="C968" t="s">
        <v>3483</v>
      </c>
      <c r="D968">
        <v>45150</v>
      </c>
      <c r="E968" t="s">
        <v>23</v>
      </c>
      <c r="F968">
        <v>1823.41</v>
      </c>
      <c r="G968">
        <v>1065.97</v>
      </c>
      <c r="H968" t="s">
        <v>100</v>
      </c>
      <c r="I968">
        <v>32</v>
      </c>
      <c r="J968" t="s">
        <v>42</v>
      </c>
      <c r="K968" t="s">
        <v>36</v>
      </c>
      <c r="L968" t="s">
        <v>3484</v>
      </c>
      <c r="M968" t="s">
        <v>38</v>
      </c>
      <c r="N968" t="s">
        <v>62</v>
      </c>
      <c r="O968">
        <v>3.03</v>
      </c>
      <c r="P968">
        <v>16365.25</v>
      </c>
      <c r="R968">
        <v>540</v>
      </c>
      <c r="S968">
        <v>6219.17</v>
      </c>
      <c r="T968" t="s">
        <v>45</v>
      </c>
    </row>
    <row r="969" spans="1:20" x14ac:dyDescent="0.35">
      <c r="A969" t="s">
        <v>3485</v>
      </c>
      <c r="B969" t="s">
        <v>3486</v>
      </c>
      <c r="C969" t="s">
        <v>3487</v>
      </c>
      <c r="D969">
        <v>44919</v>
      </c>
      <c r="E969" t="s">
        <v>34</v>
      </c>
      <c r="F969">
        <v>1258.95</v>
      </c>
      <c r="G969">
        <v>19526.939999999999</v>
      </c>
      <c r="H969" t="s">
        <v>24</v>
      </c>
      <c r="I969">
        <v>66</v>
      </c>
      <c r="J969" t="s">
        <v>25</v>
      </c>
      <c r="K969" t="s">
        <v>36</v>
      </c>
      <c r="L969" t="s">
        <v>3488</v>
      </c>
      <c r="M969" t="s">
        <v>38</v>
      </c>
      <c r="N969" t="s">
        <v>62</v>
      </c>
      <c r="O969">
        <v>4.1500000000000004</v>
      </c>
      <c r="P969">
        <v>21752.58</v>
      </c>
      <c r="Q969">
        <v>4</v>
      </c>
      <c r="R969">
        <v>743</v>
      </c>
      <c r="S969">
        <v>12383.16</v>
      </c>
      <c r="T969" t="s">
        <v>45</v>
      </c>
    </row>
    <row r="970" spans="1:20" x14ac:dyDescent="0.35">
      <c r="A970" t="s">
        <v>3489</v>
      </c>
      <c r="B970" t="s">
        <v>1846</v>
      </c>
      <c r="C970" t="s">
        <v>3490</v>
      </c>
      <c r="D970">
        <v>44854</v>
      </c>
      <c r="E970" t="s">
        <v>23</v>
      </c>
      <c r="F970">
        <v>4545.9399999999996</v>
      </c>
      <c r="G970">
        <v>8026.37</v>
      </c>
      <c r="H970" t="s">
        <v>100</v>
      </c>
      <c r="I970">
        <v>46</v>
      </c>
      <c r="J970" t="s">
        <v>25</v>
      </c>
      <c r="K970" t="s">
        <v>50</v>
      </c>
      <c r="L970" t="s">
        <v>117</v>
      </c>
      <c r="M970" t="s">
        <v>38</v>
      </c>
      <c r="N970" t="s">
        <v>29</v>
      </c>
      <c r="O970">
        <v>4.53</v>
      </c>
      <c r="P970">
        <v>9866.7800000000007</v>
      </c>
      <c r="R970">
        <v>733</v>
      </c>
      <c r="S970">
        <v>4738.3900000000003</v>
      </c>
      <c r="T970" t="s">
        <v>63</v>
      </c>
    </row>
    <row r="971" spans="1:20" x14ac:dyDescent="0.35">
      <c r="A971" t="s">
        <v>3491</v>
      </c>
      <c r="B971" t="s">
        <v>3492</v>
      </c>
      <c r="C971" t="s">
        <v>3493</v>
      </c>
      <c r="D971">
        <v>44950</v>
      </c>
      <c r="E971" t="s">
        <v>23</v>
      </c>
      <c r="F971">
        <v>6161.36</v>
      </c>
      <c r="G971">
        <v>1900.92</v>
      </c>
      <c r="H971" t="s">
        <v>24</v>
      </c>
      <c r="I971">
        <v>25</v>
      </c>
      <c r="J971" t="s">
        <v>42</v>
      </c>
      <c r="K971" t="s">
        <v>50</v>
      </c>
      <c r="L971" t="s">
        <v>2368</v>
      </c>
      <c r="M971" t="s">
        <v>38</v>
      </c>
      <c r="N971" t="s">
        <v>62</v>
      </c>
      <c r="O971">
        <v>4.3499999999999996</v>
      </c>
      <c r="Q971">
        <v>10</v>
      </c>
      <c r="R971">
        <v>527</v>
      </c>
      <c r="S971">
        <v>9092.4699999999993</v>
      </c>
      <c r="T971" t="s">
        <v>30</v>
      </c>
    </row>
    <row r="972" spans="1:20" x14ac:dyDescent="0.35">
      <c r="A972" t="s">
        <v>3494</v>
      </c>
      <c r="B972" t="s">
        <v>3495</v>
      </c>
      <c r="C972" t="s">
        <v>3496</v>
      </c>
      <c r="D972">
        <v>45065</v>
      </c>
      <c r="E972" t="s">
        <v>23</v>
      </c>
      <c r="F972">
        <v>2209.54</v>
      </c>
      <c r="G972">
        <v>23739.27</v>
      </c>
      <c r="H972" t="s">
        <v>100</v>
      </c>
      <c r="I972">
        <v>54</v>
      </c>
      <c r="J972" t="s">
        <v>42</v>
      </c>
      <c r="K972" t="s">
        <v>50</v>
      </c>
      <c r="L972" t="s">
        <v>3497</v>
      </c>
      <c r="M972" t="s">
        <v>52</v>
      </c>
      <c r="N972" t="s">
        <v>62</v>
      </c>
      <c r="O972">
        <v>3.33</v>
      </c>
      <c r="Q972">
        <v>2</v>
      </c>
      <c r="R972">
        <v>808</v>
      </c>
      <c r="S972">
        <v>4338.03</v>
      </c>
      <c r="T972" t="s">
        <v>63</v>
      </c>
    </row>
    <row r="973" spans="1:20" x14ac:dyDescent="0.35">
      <c r="A973" t="s">
        <v>3498</v>
      </c>
      <c r="B973" t="s">
        <v>3499</v>
      </c>
      <c r="C973" t="s">
        <v>3500</v>
      </c>
      <c r="D973">
        <v>45101</v>
      </c>
      <c r="E973" t="s">
        <v>23</v>
      </c>
      <c r="F973">
        <v>9396.67</v>
      </c>
      <c r="G973">
        <v>47210.03</v>
      </c>
      <c r="H973" t="s">
        <v>100</v>
      </c>
      <c r="I973">
        <v>66</v>
      </c>
      <c r="J973" t="s">
        <v>42</v>
      </c>
      <c r="K973" t="s">
        <v>26</v>
      </c>
      <c r="L973" t="s">
        <v>590</v>
      </c>
      <c r="M973" t="s">
        <v>38</v>
      </c>
      <c r="N973" t="s">
        <v>29</v>
      </c>
      <c r="O973">
        <v>2</v>
      </c>
      <c r="P973">
        <v>37430.050000000003</v>
      </c>
      <c r="R973">
        <v>602</v>
      </c>
      <c r="S973">
        <v>6516.17</v>
      </c>
      <c r="T973" t="s">
        <v>45</v>
      </c>
    </row>
    <row r="974" spans="1:20" x14ac:dyDescent="0.35">
      <c r="A974" t="s">
        <v>3501</v>
      </c>
      <c r="B974" t="s">
        <v>3502</v>
      </c>
      <c r="C974" t="s">
        <v>3503</v>
      </c>
      <c r="D974">
        <v>45053</v>
      </c>
      <c r="E974" t="s">
        <v>71</v>
      </c>
      <c r="F974">
        <v>166.15</v>
      </c>
      <c r="G974">
        <v>16867.16</v>
      </c>
      <c r="H974" t="s">
        <v>35</v>
      </c>
      <c r="I974">
        <v>69</v>
      </c>
      <c r="J974" t="s">
        <v>42</v>
      </c>
      <c r="K974" t="s">
        <v>26</v>
      </c>
      <c r="L974" t="s">
        <v>2900</v>
      </c>
      <c r="M974" t="s">
        <v>52</v>
      </c>
      <c r="N974" t="s">
        <v>62</v>
      </c>
      <c r="O974">
        <v>3.64</v>
      </c>
      <c r="P974">
        <v>7184.77</v>
      </c>
      <c r="R974">
        <v>333</v>
      </c>
      <c r="S974">
        <v>14107.66</v>
      </c>
      <c r="T974" t="s">
        <v>45</v>
      </c>
    </row>
    <row r="975" spans="1:20" x14ac:dyDescent="0.35">
      <c r="A975" t="s">
        <v>3504</v>
      </c>
      <c r="B975" t="s">
        <v>3505</v>
      </c>
      <c r="C975" t="s">
        <v>3506</v>
      </c>
      <c r="D975">
        <v>45151</v>
      </c>
      <c r="E975" t="s">
        <v>23</v>
      </c>
      <c r="F975">
        <v>7745.78</v>
      </c>
      <c r="G975">
        <v>33395.89</v>
      </c>
      <c r="H975" t="s">
        <v>49</v>
      </c>
      <c r="I975">
        <v>50</v>
      </c>
      <c r="J975" t="s">
        <v>42</v>
      </c>
      <c r="K975" t="s">
        <v>36</v>
      </c>
      <c r="L975" t="s">
        <v>1516</v>
      </c>
      <c r="M975" t="s">
        <v>38</v>
      </c>
      <c r="N975" t="s">
        <v>44</v>
      </c>
      <c r="O975">
        <v>3.84</v>
      </c>
      <c r="P975">
        <v>34303.65</v>
      </c>
      <c r="R975">
        <v>301</v>
      </c>
      <c r="S975">
        <v>3899.18</v>
      </c>
      <c r="T975" t="s">
        <v>30</v>
      </c>
    </row>
    <row r="976" spans="1:20" x14ac:dyDescent="0.35">
      <c r="A976" t="s">
        <v>3507</v>
      </c>
      <c r="B976" t="s">
        <v>3508</v>
      </c>
      <c r="C976" t="s">
        <v>3509</v>
      </c>
      <c r="D976">
        <v>45140</v>
      </c>
      <c r="E976" t="s">
        <v>71</v>
      </c>
      <c r="F976">
        <v>6289.53</v>
      </c>
      <c r="G976">
        <v>32959.53</v>
      </c>
      <c r="H976" t="s">
        <v>49</v>
      </c>
      <c r="I976">
        <v>39</v>
      </c>
      <c r="J976" t="s">
        <v>42</v>
      </c>
      <c r="K976" t="s">
        <v>26</v>
      </c>
      <c r="L976" t="s">
        <v>1831</v>
      </c>
      <c r="M976" t="s">
        <v>52</v>
      </c>
      <c r="N976" t="s">
        <v>62</v>
      </c>
      <c r="O976">
        <v>1.04</v>
      </c>
      <c r="P976">
        <v>14963.45</v>
      </c>
      <c r="R976">
        <v>661</v>
      </c>
      <c r="S976">
        <v>10221.209999999999</v>
      </c>
      <c r="T976" t="s">
        <v>30</v>
      </c>
    </row>
    <row r="977" spans="1:20" x14ac:dyDescent="0.35">
      <c r="A977" t="s">
        <v>3510</v>
      </c>
      <c r="B977" t="s">
        <v>3511</v>
      </c>
      <c r="C977" t="s">
        <v>3512</v>
      </c>
      <c r="D977">
        <v>45069</v>
      </c>
      <c r="E977" t="s">
        <v>71</v>
      </c>
      <c r="F977">
        <v>3798.19</v>
      </c>
      <c r="G977">
        <v>13302.93</v>
      </c>
      <c r="H977" t="s">
        <v>125</v>
      </c>
      <c r="I977">
        <v>67</v>
      </c>
      <c r="J977" t="s">
        <v>25</v>
      </c>
      <c r="K977" t="s">
        <v>50</v>
      </c>
      <c r="L977" t="s">
        <v>3339</v>
      </c>
      <c r="M977" t="s">
        <v>52</v>
      </c>
      <c r="N977" t="s">
        <v>29</v>
      </c>
      <c r="O977">
        <v>2.76</v>
      </c>
      <c r="P977">
        <v>8683.77</v>
      </c>
      <c r="R977">
        <v>494</v>
      </c>
      <c r="S977">
        <v>9708.41</v>
      </c>
      <c r="T977" t="s">
        <v>63</v>
      </c>
    </row>
    <row r="978" spans="1:20" x14ac:dyDescent="0.35">
      <c r="A978" t="s">
        <v>3513</v>
      </c>
      <c r="B978" t="s">
        <v>3514</v>
      </c>
      <c r="C978" t="s">
        <v>3515</v>
      </c>
      <c r="D978">
        <v>44886</v>
      </c>
      <c r="E978" t="s">
        <v>23</v>
      </c>
      <c r="F978">
        <v>599.84</v>
      </c>
      <c r="G978">
        <v>32870.839999999997</v>
      </c>
      <c r="H978" t="s">
        <v>35</v>
      </c>
      <c r="I978">
        <v>64</v>
      </c>
      <c r="J978" t="s">
        <v>42</v>
      </c>
      <c r="K978" t="s">
        <v>36</v>
      </c>
      <c r="L978" t="s">
        <v>578</v>
      </c>
      <c r="M978" t="s">
        <v>38</v>
      </c>
      <c r="N978" t="s">
        <v>44</v>
      </c>
      <c r="O978">
        <v>4.37</v>
      </c>
      <c r="Q978">
        <v>27</v>
      </c>
      <c r="R978">
        <v>607</v>
      </c>
      <c r="S978">
        <v>3569.6</v>
      </c>
      <c r="T978" t="s">
        <v>30</v>
      </c>
    </row>
    <row r="979" spans="1:20" x14ac:dyDescent="0.35">
      <c r="A979" t="s">
        <v>3516</v>
      </c>
      <c r="B979" t="s">
        <v>3517</v>
      </c>
      <c r="C979" t="s">
        <v>3518</v>
      </c>
      <c r="D979">
        <v>44623</v>
      </c>
      <c r="E979" t="s">
        <v>56</v>
      </c>
      <c r="F979">
        <v>6312.12</v>
      </c>
      <c r="G979">
        <v>11404.36</v>
      </c>
      <c r="H979" t="s">
        <v>35</v>
      </c>
      <c r="I979">
        <v>22</v>
      </c>
      <c r="J979" t="s">
        <v>25</v>
      </c>
      <c r="K979" t="s">
        <v>36</v>
      </c>
      <c r="L979" t="s">
        <v>2837</v>
      </c>
      <c r="M979" t="s">
        <v>38</v>
      </c>
      <c r="N979" t="s">
        <v>62</v>
      </c>
      <c r="O979">
        <v>2.96</v>
      </c>
      <c r="R979">
        <v>549</v>
      </c>
      <c r="S979">
        <v>6237.73</v>
      </c>
      <c r="T979" t="s">
        <v>63</v>
      </c>
    </row>
    <row r="980" spans="1:20" x14ac:dyDescent="0.35">
      <c r="A980" t="s">
        <v>3519</v>
      </c>
      <c r="B980" t="s">
        <v>3520</v>
      </c>
      <c r="C980" t="s">
        <v>3521</v>
      </c>
      <c r="D980">
        <v>45154</v>
      </c>
      <c r="E980" t="s">
        <v>71</v>
      </c>
      <c r="F980">
        <v>3917.57</v>
      </c>
      <c r="G980">
        <v>6978.36</v>
      </c>
      <c r="H980" t="s">
        <v>49</v>
      </c>
      <c r="I980">
        <v>56</v>
      </c>
      <c r="J980" t="s">
        <v>42</v>
      </c>
      <c r="K980" t="s">
        <v>26</v>
      </c>
      <c r="L980" t="s">
        <v>902</v>
      </c>
      <c r="M980" t="s">
        <v>38</v>
      </c>
      <c r="N980" t="s">
        <v>44</v>
      </c>
      <c r="O980">
        <v>2.25</v>
      </c>
      <c r="R980">
        <v>446</v>
      </c>
      <c r="S980">
        <v>9318.76</v>
      </c>
      <c r="T980" t="s">
        <v>63</v>
      </c>
    </row>
    <row r="981" spans="1:20" x14ac:dyDescent="0.35">
      <c r="A981" t="s">
        <v>3522</v>
      </c>
      <c r="B981" t="s">
        <v>3523</v>
      </c>
      <c r="C981" t="s">
        <v>3524</v>
      </c>
      <c r="D981">
        <v>45083</v>
      </c>
      <c r="E981" t="s">
        <v>56</v>
      </c>
      <c r="F981">
        <v>9369.0400000000009</v>
      </c>
      <c r="G981">
        <v>35367.78</v>
      </c>
      <c r="H981" t="s">
        <v>35</v>
      </c>
      <c r="I981">
        <v>35</v>
      </c>
      <c r="J981" t="s">
        <v>42</v>
      </c>
      <c r="K981" t="s">
        <v>36</v>
      </c>
      <c r="L981" t="s">
        <v>988</v>
      </c>
      <c r="M981" t="s">
        <v>38</v>
      </c>
      <c r="N981" t="s">
        <v>44</v>
      </c>
      <c r="O981">
        <v>4.49</v>
      </c>
      <c r="P981">
        <v>21081.94</v>
      </c>
      <c r="R981">
        <v>645</v>
      </c>
      <c r="S981">
        <v>4433.32</v>
      </c>
      <c r="T981" t="s">
        <v>45</v>
      </c>
    </row>
    <row r="982" spans="1:20" x14ac:dyDescent="0.35">
      <c r="A982" t="s">
        <v>3525</v>
      </c>
      <c r="B982" t="s">
        <v>3526</v>
      </c>
      <c r="C982" t="s">
        <v>3527</v>
      </c>
      <c r="D982">
        <v>44788</v>
      </c>
      <c r="E982" t="s">
        <v>56</v>
      </c>
      <c r="F982">
        <v>5465.7</v>
      </c>
      <c r="G982">
        <v>6558.6</v>
      </c>
      <c r="H982" t="s">
        <v>49</v>
      </c>
      <c r="I982">
        <v>55</v>
      </c>
      <c r="J982" t="s">
        <v>25</v>
      </c>
      <c r="K982" t="s">
        <v>26</v>
      </c>
      <c r="L982" t="s">
        <v>3528</v>
      </c>
      <c r="M982" t="s">
        <v>28</v>
      </c>
      <c r="N982" t="s">
        <v>62</v>
      </c>
      <c r="O982">
        <v>1.62</v>
      </c>
      <c r="R982">
        <v>647</v>
      </c>
      <c r="S982">
        <v>12408.11</v>
      </c>
      <c r="T982" t="s">
        <v>63</v>
      </c>
    </row>
    <row r="983" spans="1:20" x14ac:dyDescent="0.35">
      <c r="A983" t="s">
        <v>3529</v>
      </c>
      <c r="B983" t="s">
        <v>3530</v>
      </c>
      <c r="C983" t="s">
        <v>3531</v>
      </c>
      <c r="D983">
        <v>44905</v>
      </c>
      <c r="E983" t="s">
        <v>23</v>
      </c>
      <c r="F983">
        <v>9402.5499999999993</v>
      </c>
      <c r="G983">
        <v>49848.55</v>
      </c>
      <c r="H983" t="s">
        <v>35</v>
      </c>
      <c r="I983">
        <v>54</v>
      </c>
      <c r="J983" t="s">
        <v>42</v>
      </c>
      <c r="K983" t="s">
        <v>26</v>
      </c>
      <c r="L983" t="s">
        <v>2422</v>
      </c>
      <c r="M983" t="s">
        <v>38</v>
      </c>
      <c r="N983" t="s">
        <v>62</v>
      </c>
      <c r="O983">
        <v>1.83</v>
      </c>
      <c r="P983">
        <v>48359.73</v>
      </c>
      <c r="Q983">
        <v>2</v>
      </c>
      <c r="R983">
        <v>553</v>
      </c>
      <c r="S983">
        <v>14638.03</v>
      </c>
      <c r="T983" t="s">
        <v>45</v>
      </c>
    </row>
    <row r="984" spans="1:20" x14ac:dyDescent="0.35">
      <c r="A984" t="s">
        <v>3532</v>
      </c>
      <c r="B984" t="s">
        <v>3533</v>
      </c>
      <c r="C984" t="s">
        <v>3534</v>
      </c>
      <c r="D984">
        <v>45101</v>
      </c>
      <c r="E984" t="s">
        <v>34</v>
      </c>
      <c r="F984">
        <v>2282.79</v>
      </c>
      <c r="G984">
        <v>9989.17</v>
      </c>
      <c r="H984" t="s">
        <v>100</v>
      </c>
      <c r="I984">
        <v>47</v>
      </c>
      <c r="J984" t="s">
        <v>42</v>
      </c>
      <c r="K984" t="s">
        <v>36</v>
      </c>
      <c r="L984" t="s">
        <v>2543</v>
      </c>
      <c r="M984" t="s">
        <v>38</v>
      </c>
      <c r="N984" t="s">
        <v>29</v>
      </c>
      <c r="O984">
        <v>3.75</v>
      </c>
      <c r="Q984">
        <v>3</v>
      </c>
      <c r="R984">
        <v>698</v>
      </c>
      <c r="S984">
        <v>4791.87</v>
      </c>
      <c r="T984" t="s">
        <v>63</v>
      </c>
    </row>
    <row r="985" spans="1:20" x14ac:dyDescent="0.35">
      <c r="A985" t="s">
        <v>3535</v>
      </c>
      <c r="B985" t="s">
        <v>3536</v>
      </c>
      <c r="C985" t="s">
        <v>3537</v>
      </c>
      <c r="D985">
        <v>44956</v>
      </c>
      <c r="E985" t="s">
        <v>23</v>
      </c>
      <c r="F985">
        <v>7284.69</v>
      </c>
      <c r="G985">
        <v>30112.95</v>
      </c>
      <c r="H985" t="s">
        <v>49</v>
      </c>
      <c r="I985">
        <v>68</v>
      </c>
      <c r="J985" t="s">
        <v>25</v>
      </c>
      <c r="K985" t="s">
        <v>26</v>
      </c>
      <c r="L985" t="s">
        <v>206</v>
      </c>
      <c r="M985" t="s">
        <v>38</v>
      </c>
      <c r="N985" t="s">
        <v>29</v>
      </c>
      <c r="O985">
        <v>2.41</v>
      </c>
      <c r="P985">
        <v>40778.94</v>
      </c>
      <c r="Q985">
        <v>9</v>
      </c>
      <c r="R985">
        <v>633</v>
      </c>
      <c r="S985">
        <v>4429.8599999999997</v>
      </c>
      <c r="T985" t="s">
        <v>63</v>
      </c>
    </row>
    <row r="986" spans="1:20" x14ac:dyDescent="0.35">
      <c r="A986" t="s">
        <v>3538</v>
      </c>
      <c r="B986" t="s">
        <v>3539</v>
      </c>
      <c r="C986" t="s">
        <v>3540</v>
      </c>
      <c r="D986">
        <v>45083</v>
      </c>
      <c r="E986" t="s">
        <v>34</v>
      </c>
      <c r="F986">
        <v>6210.77</v>
      </c>
      <c r="G986">
        <v>21157.35</v>
      </c>
      <c r="H986" t="s">
        <v>49</v>
      </c>
      <c r="I986">
        <v>48</v>
      </c>
      <c r="J986" t="s">
        <v>42</v>
      </c>
      <c r="K986" t="s">
        <v>26</v>
      </c>
      <c r="L986" t="s">
        <v>190</v>
      </c>
      <c r="M986" t="s">
        <v>52</v>
      </c>
      <c r="N986" t="s">
        <v>44</v>
      </c>
      <c r="O986">
        <v>3.85</v>
      </c>
      <c r="P986">
        <v>5597.08</v>
      </c>
      <c r="Q986">
        <v>5</v>
      </c>
      <c r="R986">
        <v>475</v>
      </c>
      <c r="S986">
        <v>7914.16</v>
      </c>
      <c r="T986" t="s">
        <v>30</v>
      </c>
    </row>
    <row r="987" spans="1:20" x14ac:dyDescent="0.35">
      <c r="A987" t="s">
        <v>3541</v>
      </c>
      <c r="B987" t="s">
        <v>3542</v>
      </c>
      <c r="C987" t="s">
        <v>3543</v>
      </c>
      <c r="D987">
        <v>44624</v>
      </c>
      <c r="E987" t="s">
        <v>34</v>
      </c>
      <c r="F987">
        <v>7420.14</v>
      </c>
      <c r="G987">
        <v>7192.93</v>
      </c>
      <c r="H987" t="s">
        <v>24</v>
      </c>
      <c r="I987">
        <v>27</v>
      </c>
      <c r="J987" t="s">
        <v>25</v>
      </c>
      <c r="K987" t="s">
        <v>26</v>
      </c>
      <c r="L987" t="s">
        <v>3544</v>
      </c>
      <c r="M987" t="s">
        <v>38</v>
      </c>
      <c r="N987" t="s">
        <v>29</v>
      </c>
      <c r="O987">
        <v>1.63</v>
      </c>
      <c r="Q987">
        <v>10</v>
      </c>
      <c r="R987">
        <v>424</v>
      </c>
      <c r="S987">
        <v>11720.95</v>
      </c>
      <c r="T987" t="s">
        <v>30</v>
      </c>
    </row>
    <row r="988" spans="1:20" x14ac:dyDescent="0.35">
      <c r="A988" t="s">
        <v>3545</v>
      </c>
      <c r="B988" t="s">
        <v>3546</v>
      </c>
      <c r="C988" t="s">
        <v>3547</v>
      </c>
      <c r="D988">
        <v>44809</v>
      </c>
      <c r="E988" t="s">
        <v>23</v>
      </c>
      <c r="F988">
        <v>2225.21</v>
      </c>
      <c r="G988">
        <v>2364.35</v>
      </c>
      <c r="H988" t="s">
        <v>35</v>
      </c>
      <c r="I988">
        <v>32</v>
      </c>
      <c r="J988" t="s">
        <v>42</v>
      </c>
      <c r="K988" t="s">
        <v>26</v>
      </c>
      <c r="L988" t="s">
        <v>391</v>
      </c>
      <c r="M988" t="s">
        <v>52</v>
      </c>
      <c r="N988" t="s">
        <v>44</v>
      </c>
      <c r="O988">
        <v>2.0099999999999998</v>
      </c>
      <c r="R988">
        <v>697</v>
      </c>
      <c r="S988">
        <v>5660.81</v>
      </c>
      <c r="T988" t="s">
        <v>45</v>
      </c>
    </row>
    <row r="989" spans="1:20" x14ac:dyDescent="0.35">
      <c r="A989" t="s">
        <v>3548</v>
      </c>
      <c r="B989" t="s">
        <v>3549</v>
      </c>
      <c r="C989" t="s">
        <v>3550</v>
      </c>
      <c r="D989">
        <v>44680</v>
      </c>
      <c r="E989" t="s">
        <v>23</v>
      </c>
      <c r="F989">
        <v>6683.45</v>
      </c>
      <c r="G989">
        <v>31513.88</v>
      </c>
      <c r="H989" t="s">
        <v>35</v>
      </c>
      <c r="I989">
        <v>59</v>
      </c>
      <c r="J989" t="s">
        <v>42</v>
      </c>
      <c r="K989" t="s">
        <v>36</v>
      </c>
      <c r="L989" t="s">
        <v>351</v>
      </c>
      <c r="M989" t="s">
        <v>52</v>
      </c>
      <c r="N989" t="s">
        <v>44</v>
      </c>
      <c r="O989">
        <v>1.63</v>
      </c>
      <c r="Q989">
        <v>12</v>
      </c>
      <c r="R989">
        <v>430</v>
      </c>
      <c r="S989">
        <v>2258.44</v>
      </c>
      <c r="T989" t="s">
        <v>30</v>
      </c>
    </row>
    <row r="990" spans="1:20" x14ac:dyDescent="0.35">
      <c r="A990" t="s">
        <v>3551</v>
      </c>
      <c r="B990" t="s">
        <v>3552</v>
      </c>
      <c r="C990" t="s">
        <v>3553</v>
      </c>
      <c r="D990">
        <v>44965</v>
      </c>
      <c r="E990" t="s">
        <v>34</v>
      </c>
      <c r="F990">
        <v>5030.6000000000004</v>
      </c>
      <c r="G990">
        <v>40531.120000000003</v>
      </c>
      <c r="H990" t="s">
        <v>49</v>
      </c>
      <c r="I990">
        <v>65</v>
      </c>
      <c r="J990" t="s">
        <v>25</v>
      </c>
      <c r="K990" t="s">
        <v>50</v>
      </c>
      <c r="L990" t="s">
        <v>198</v>
      </c>
      <c r="M990" t="s">
        <v>52</v>
      </c>
      <c r="N990" t="s">
        <v>29</v>
      </c>
      <c r="O990">
        <v>4.8099999999999996</v>
      </c>
      <c r="Q990">
        <v>18</v>
      </c>
      <c r="R990">
        <v>706</v>
      </c>
      <c r="S990">
        <v>9035.8700000000008</v>
      </c>
      <c r="T990" t="s">
        <v>63</v>
      </c>
    </row>
    <row r="991" spans="1:20" x14ac:dyDescent="0.35">
      <c r="A991" t="s">
        <v>3554</v>
      </c>
      <c r="B991" t="s">
        <v>1790</v>
      </c>
      <c r="C991" t="s">
        <v>3555</v>
      </c>
      <c r="D991">
        <v>44648</v>
      </c>
      <c r="E991" t="s">
        <v>23</v>
      </c>
      <c r="F991">
        <v>7453.97</v>
      </c>
      <c r="G991">
        <v>42258.77</v>
      </c>
      <c r="H991" t="s">
        <v>100</v>
      </c>
      <c r="I991">
        <v>61</v>
      </c>
      <c r="J991" t="s">
        <v>42</v>
      </c>
      <c r="K991" t="s">
        <v>50</v>
      </c>
      <c r="L991" t="s">
        <v>3179</v>
      </c>
      <c r="M991" t="s">
        <v>52</v>
      </c>
      <c r="N991" t="s">
        <v>29</v>
      </c>
      <c r="O991">
        <v>2.62</v>
      </c>
      <c r="R991">
        <v>633</v>
      </c>
      <c r="S991">
        <v>14435.81</v>
      </c>
      <c r="T991" t="s">
        <v>45</v>
      </c>
    </row>
    <row r="992" spans="1:20" x14ac:dyDescent="0.35">
      <c r="A992" t="s">
        <v>3556</v>
      </c>
      <c r="B992" t="s">
        <v>3557</v>
      </c>
      <c r="C992" t="s">
        <v>3558</v>
      </c>
      <c r="D992">
        <v>44915</v>
      </c>
      <c r="E992" t="s">
        <v>34</v>
      </c>
      <c r="F992">
        <v>3337.74</v>
      </c>
      <c r="G992">
        <v>24652.959999999999</v>
      </c>
      <c r="H992" t="s">
        <v>100</v>
      </c>
      <c r="I992">
        <v>35</v>
      </c>
      <c r="J992" t="s">
        <v>25</v>
      </c>
      <c r="K992" t="s">
        <v>26</v>
      </c>
      <c r="L992" t="s">
        <v>3559</v>
      </c>
      <c r="M992" t="s">
        <v>28</v>
      </c>
      <c r="N992" t="s">
        <v>29</v>
      </c>
      <c r="O992">
        <v>2.35</v>
      </c>
      <c r="P992">
        <v>24883.16</v>
      </c>
      <c r="R992">
        <v>319</v>
      </c>
      <c r="S992">
        <v>7086.6</v>
      </c>
      <c r="T992" t="s">
        <v>45</v>
      </c>
    </row>
    <row r="993" spans="1:20" x14ac:dyDescent="0.35">
      <c r="A993" t="s">
        <v>3560</v>
      </c>
      <c r="B993" t="s">
        <v>3561</v>
      </c>
      <c r="C993" t="s">
        <v>3562</v>
      </c>
      <c r="D993">
        <v>44943</v>
      </c>
      <c r="E993" t="s">
        <v>56</v>
      </c>
      <c r="F993">
        <v>8911.56</v>
      </c>
      <c r="G993">
        <v>39095.32</v>
      </c>
      <c r="H993" t="s">
        <v>100</v>
      </c>
      <c r="I993">
        <v>40</v>
      </c>
      <c r="J993" t="s">
        <v>25</v>
      </c>
      <c r="K993" t="s">
        <v>26</v>
      </c>
      <c r="L993" t="s">
        <v>3563</v>
      </c>
      <c r="M993" t="s">
        <v>38</v>
      </c>
      <c r="N993" t="s">
        <v>62</v>
      </c>
      <c r="O993">
        <v>1.06</v>
      </c>
      <c r="Q993">
        <v>21</v>
      </c>
      <c r="R993">
        <v>504</v>
      </c>
      <c r="S993">
        <v>7461.75</v>
      </c>
      <c r="T993" t="s">
        <v>45</v>
      </c>
    </row>
    <row r="994" spans="1:20" x14ac:dyDescent="0.35">
      <c r="A994" t="s">
        <v>3564</v>
      </c>
      <c r="B994" t="s">
        <v>3565</v>
      </c>
      <c r="C994" t="s">
        <v>3566</v>
      </c>
      <c r="D994">
        <v>44798</v>
      </c>
      <c r="E994" t="s">
        <v>23</v>
      </c>
      <c r="F994">
        <v>934.58</v>
      </c>
      <c r="G994">
        <v>33969.51</v>
      </c>
      <c r="H994" t="s">
        <v>35</v>
      </c>
      <c r="I994">
        <v>50</v>
      </c>
      <c r="J994" t="s">
        <v>25</v>
      </c>
      <c r="K994" t="s">
        <v>26</v>
      </c>
      <c r="L994" t="s">
        <v>826</v>
      </c>
      <c r="M994" t="s">
        <v>52</v>
      </c>
      <c r="N994" t="s">
        <v>44</v>
      </c>
      <c r="O994">
        <v>1.61</v>
      </c>
      <c r="Q994">
        <v>1</v>
      </c>
      <c r="R994">
        <v>654</v>
      </c>
      <c r="S994">
        <v>14595.72</v>
      </c>
      <c r="T994" t="s">
        <v>63</v>
      </c>
    </row>
    <row r="995" spans="1:20" x14ac:dyDescent="0.35">
      <c r="A995" t="s">
        <v>3567</v>
      </c>
      <c r="B995" t="s">
        <v>3568</v>
      </c>
      <c r="C995" t="s">
        <v>3569</v>
      </c>
      <c r="D995">
        <v>44630</v>
      </c>
      <c r="E995" t="s">
        <v>56</v>
      </c>
      <c r="F995">
        <v>8091.17</v>
      </c>
      <c r="G995">
        <v>36488.47</v>
      </c>
      <c r="H995" t="s">
        <v>24</v>
      </c>
      <c r="I995">
        <v>33</v>
      </c>
      <c r="J995" t="s">
        <v>42</v>
      </c>
      <c r="K995" t="s">
        <v>50</v>
      </c>
      <c r="L995" t="s">
        <v>945</v>
      </c>
      <c r="M995" t="s">
        <v>38</v>
      </c>
      <c r="N995" t="s">
        <v>44</v>
      </c>
      <c r="O995">
        <v>2.68</v>
      </c>
      <c r="P995">
        <v>24798.82</v>
      </c>
      <c r="R995">
        <v>472</v>
      </c>
      <c r="S995">
        <v>11029.9</v>
      </c>
      <c r="T995" t="s">
        <v>30</v>
      </c>
    </row>
    <row r="996" spans="1:20" x14ac:dyDescent="0.35">
      <c r="A996" t="s">
        <v>3570</v>
      </c>
      <c r="B996" t="s">
        <v>3571</v>
      </c>
      <c r="C996" t="s">
        <v>3572</v>
      </c>
      <c r="D996">
        <v>44943</v>
      </c>
      <c r="E996" t="s">
        <v>71</v>
      </c>
      <c r="F996">
        <v>8627.06</v>
      </c>
      <c r="G996">
        <v>25137.35</v>
      </c>
      <c r="H996" t="s">
        <v>49</v>
      </c>
      <c r="I996">
        <v>55</v>
      </c>
      <c r="J996" t="s">
        <v>42</v>
      </c>
      <c r="K996" t="s">
        <v>26</v>
      </c>
      <c r="L996" t="s">
        <v>3573</v>
      </c>
      <c r="M996" t="s">
        <v>52</v>
      </c>
      <c r="N996" t="s">
        <v>44</v>
      </c>
      <c r="O996">
        <v>1.27</v>
      </c>
      <c r="Q996">
        <v>5</v>
      </c>
      <c r="R996">
        <v>488</v>
      </c>
      <c r="S996">
        <v>11349.23</v>
      </c>
      <c r="T996" t="s">
        <v>45</v>
      </c>
    </row>
    <row r="997" spans="1:20" x14ac:dyDescent="0.35">
      <c r="A997" t="s">
        <v>3574</v>
      </c>
      <c r="B997" t="s">
        <v>647</v>
      </c>
      <c r="C997" t="s">
        <v>3575</v>
      </c>
      <c r="D997">
        <v>44619</v>
      </c>
      <c r="E997" t="s">
        <v>56</v>
      </c>
      <c r="F997">
        <v>8190.8</v>
      </c>
      <c r="G997">
        <v>32037.18</v>
      </c>
      <c r="H997" t="s">
        <v>125</v>
      </c>
      <c r="I997">
        <v>52</v>
      </c>
      <c r="J997" t="s">
        <v>25</v>
      </c>
      <c r="K997" t="s">
        <v>36</v>
      </c>
      <c r="L997" t="s">
        <v>3576</v>
      </c>
      <c r="M997" t="s">
        <v>28</v>
      </c>
      <c r="N997" t="s">
        <v>29</v>
      </c>
      <c r="O997">
        <v>3.04</v>
      </c>
      <c r="P997">
        <v>39624.65</v>
      </c>
      <c r="R997">
        <v>301</v>
      </c>
      <c r="S997">
        <v>9315.1299999999992</v>
      </c>
      <c r="T997" t="s">
        <v>63</v>
      </c>
    </row>
    <row r="998" spans="1:20" x14ac:dyDescent="0.35">
      <c r="A998" t="s">
        <v>3577</v>
      </c>
      <c r="B998" t="s">
        <v>3578</v>
      </c>
      <c r="C998" t="s">
        <v>3579</v>
      </c>
      <c r="D998">
        <v>44703</v>
      </c>
      <c r="E998" t="s">
        <v>56</v>
      </c>
      <c r="F998">
        <v>5175.99</v>
      </c>
      <c r="G998">
        <v>40470.769999999997</v>
      </c>
      <c r="H998" t="s">
        <v>24</v>
      </c>
      <c r="I998">
        <v>51</v>
      </c>
      <c r="J998" t="s">
        <v>42</v>
      </c>
      <c r="K998" t="s">
        <v>36</v>
      </c>
      <c r="L998" t="s">
        <v>3580</v>
      </c>
      <c r="M998" t="s">
        <v>52</v>
      </c>
      <c r="N998" t="s">
        <v>29</v>
      </c>
      <c r="O998">
        <v>2.82</v>
      </c>
      <c r="R998">
        <v>467</v>
      </c>
      <c r="S998">
        <v>14669.92</v>
      </c>
      <c r="T998" t="s">
        <v>30</v>
      </c>
    </row>
    <row r="999" spans="1:20" x14ac:dyDescent="0.35">
      <c r="A999" t="s">
        <v>3581</v>
      </c>
      <c r="B999" t="s">
        <v>3582</v>
      </c>
      <c r="C999" t="s">
        <v>3583</v>
      </c>
      <c r="D999">
        <v>44778</v>
      </c>
      <c r="E999" t="s">
        <v>34</v>
      </c>
      <c r="F999">
        <v>4440.01</v>
      </c>
      <c r="G999">
        <v>20496.32</v>
      </c>
      <c r="H999" t="s">
        <v>125</v>
      </c>
      <c r="I999">
        <v>45</v>
      </c>
      <c r="J999" t="s">
        <v>42</v>
      </c>
      <c r="K999" t="s">
        <v>36</v>
      </c>
      <c r="L999" t="s">
        <v>2329</v>
      </c>
      <c r="M999" t="s">
        <v>38</v>
      </c>
      <c r="N999" t="s">
        <v>29</v>
      </c>
      <c r="O999">
        <v>4.07</v>
      </c>
      <c r="Q999">
        <v>17</v>
      </c>
      <c r="R999">
        <v>667</v>
      </c>
      <c r="S999">
        <v>10955.26</v>
      </c>
      <c r="T999" t="s">
        <v>30</v>
      </c>
    </row>
    <row r="1000" spans="1:20" x14ac:dyDescent="0.35">
      <c r="A1000" t="s">
        <v>3584</v>
      </c>
      <c r="B1000" t="s">
        <v>3585</v>
      </c>
      <c r="C1000" t="s">
        <v>3586</v>
      </c>
      <c r="D1000">
        <v>44930</v>
      </c>
      <c r="E1000" t="s">
        <v>56</v>
      </c>
      <c r="F1000">
        <v>9963</v>
      </c>
      <c r="G1000">
        <v>40492.97</v>
      </c>
      <c r="H1000" t="s">
        <v>24</v>
      </c>
      <c r="I1000">
        <v>19</v>
      </c>
      <c r="J1000" t="s">
        <v>42</v>
      </c>
      <c r="K1000" t="s">
        <v>50</v>
      </c>
      <c r="L1000" t="s">
        <v>3587</v>
      </c>
      <c r="M1000" t="s">
        <v>38</v>
      </c>
      <c r="N1000" t="s">
        <v>29</v>
      </c>
      <c r="O1000">
        <v>3.64</v>
      </c>
      <c r="P1000">
        <v>35988.230000000003</v>
      </c>
      <c r="Q1000">
        <v>8</v>
      </c>
      <c r="R1000">
        <v>835</v>
      </c>
      <c r="S1000">
        <v>13635.43</v>
      </c>
      <c r="T1000" t="s">
        <v>45</v>
      </c>
    </row>
    <row r="1001" spans="1:20" x14ac:dyDescent="0.35">
      <c r="A1001" t="s">
        <v>3588</v>
      </c>
      <c r="B1001" t="s">
        <v>3589</v>
      </c>
      <c r="C1001" t="s">
        <v>3590</v>
      </c>
      <c r="D1001">
        <v>44854</v>
      </c>
      <c r="E1001" t="s">
        <v>23</v>
      </c>
      <c r="F1001">
        <v>2368.8000000000002</v>
      </c>
      <c r="G1001">
        <v>30008.83</v>
      </c>
      <c r="H1001" t="s">
        <v>100</v>
      </c>
      <c r="I1001">
        <v>47</v>
      </c>
      <c r="J1001" t="s">
        <v>25</v>
      </c>
      <c r="K1001" t="s">
        <v>26</v>
      </c>
      <c r="L1001" t="s">
        <v>1505</v>
      </c>
      <c r="M1001" t="s">
        <v>28</v>
      </c>
      <c r="N1001" t="s">
        <v>29</v>
      </c>
      <c r="O1001">
        <v>2.78</v>
      </c>
      <c r="Q1001">
        <v>17</v>
      </c>
      <c r="R1001">
        <v>669</v>
      </c>
      <c r="S1001">
        <v>11091.93</v>
      </c>
      <c r="T1001" t="s">
        <v>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2B5F5-2188-4E6B-A3D2-5956766B62FC}">
  <sheetPr>
    <tabColor theme="9" tint="0.39997558519241921"/>
  </sheetPr>
  <dimension ref="A1:AI1002"/>
  <sheetViews>
    <sheetView topLeftCell="Z1" zoomScale="84" zoomScaleNormal="84" workbookViewId="0">
      <selection sqref="A1:AI1"/>
    </sheetView>
  </sheetViews>
  <sheetFormatPr defaultRowHeight="14.5" x14ac:dyDescent="0.35"/>
  <cols>
    <col min="1" max="1" width="14.81640625" customWidth="1"/>
    <col min="2" max="2" width="13.1796875" customWidth="1"/>
    <col min="3" max="3" width="16.81640625" customWidth="1"/>
    <col min="4" max="4" width="27.54296875" bestFit="1" customWidth="1"/>
    <col min="5" max="6" width="27.54296875" customWidth="1"/>
    <col min="7" max="7" width="16.90625" customWidth="1"/>
    <col min="8" max="9" width="19.54296875" customWidth="1"/>
    <col min="10" max="11" width="16.81640625" customWidth="1"/>
    <col min="12" max="12" width="16.26953125" customWidth="1"/>
    <col min="13" max="13" width="14.36328125" customWidth="1"/>
    <col min="14" max="14" width="20.26953125" bestFit="1" customWidth="1"/>
    <col min="15" max="15" width="17.453125" customWidth="1"/>
    <col min="16" max="16" width="14" customWidth="1"/>
    <col min="17" max="17" width="13.453125" customWidth="1"/>
    <col min="18" max="18" width="10.453125" customWidth="1"/>
    <col min="19" max="19" width="18.36328125" customWidth="1"/>
    <col min="20" max="22" width="16.6328125" customWidth="1"/>
    <col min="23" max="23" width="15" bestFit="1" customWidth="1"/>
    <col min="24" max="24" width="15" customWidth="1"/>
    <col min="25" max="25" width="20.7265625" customWidth="1"/>
    <col min="26" max="26" width="14.1796875" bestFit="1" customWidth="1"/>
    <col min="27" max="27" width="24.90625" bestFit="1" customWidth="1"/>
    <col min="28" max="30" width="24.90625" customWidth="1"/>
    <col min="31" max="32" width="16.1796875" customWidth="1"/>
    <col min="33" max="34" width="19.08984375" customWidth="1"/>
    <col min="35" max="35" width="9.54296875" bestFit="1" customWidth="1"/>
    <col min="38" max="38" width="8.81640625" bestFit="1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3658</v>
      </c>
      <c r="F1" t="s">
        <v>3659</v>
      </c>
      <c r="G1" t="s">
        <v>4</v>
      </c>
      <c r="H1" t="s">
        <v>5</v>
      </c>
      <c r="I1" t="s">
        <v>3631</v>
      </c>
      <c r="J1" t="s">
        <v>6</v>
      </c>
      <c r="K1" t="s">
        <v>3628</v>
      </c>
      <c r="L1" t="s">
        <v>7</v>
      </c>
      <c r="M1" t="s">
        <v>8</v>
      </c>
      <c r="N1" t="s">
        <v>3591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3729</v>
      </c>
      <c r="U1" t="s">
        <v>3730</v>
      </c>
      <c r="V1" t="s">
        <v>3733</v>
      </c>
      <c r="W1" t="s">
        <v>15</v>
      </c>
      <c r="X1" t="s">
        <v>3639</v>
      </c>
      <c r="Y1" t="s">
        <v>16</v>
      </c>
      <c r="Z1" t="s">
        <v>17</v>
      </c>
      <c r="AA1" t="s">
        <v>3716</v>
      </c>
      <c r="AB1" t="s">
        <v>3724</v>
      </c>
      <c r="AC1" t="s">
        <v>3736</v>
      </c>
      <c r="AD1" t="s">
        <v>3723</v>
      </c>
      <c r="AE1" t="s">
        <v>18</v>
      </c>
      <c r="AF1" t="s">
        <v>3758</v>
      </c>
      <c r="AG1" t="s">
        <v>19</v>
      </c>
      <c r="AH1" t="s">
        <v>3634</v>
      </c>
      <c r="AI1" t="s">
        <v>3740</v>
      </c>
    </row>
    <row r="2" spans="1:35" x14ac:dyDescent="0.35">
      <c r="A2" t="s">
        <v>20</v>
      </c>
      <c r="B2" t="s">
        <v>21</v>
      </c>
      <c r="C2" t="s">
        <v>22</v>
      </c>
      <c r="D2" s="1">
        <v>45069</v>
      </c>
      <c r="E2" s="1" t="str">
        <f t="shared" ref="E2:E65" si="0">TEXT(D2, "DD")</f>
        <v>23</v>
      </c>
      <c r="F2" s="1" t="str">
        <f t="shared" ref="F2:F65" si="1">TEXT(D2, "MMM")</f>
        <v>May</v>
      </c>
      <c r="G2" s="6" t="s">
        <v>23</v>
      </c>
      <c r="H2" s="5">
        <v>5119.8100000000004</v>
      </c>
      <c r="I2" s="5" t="str">
        <f>IF(fin_table[[#This Row],[Account Balance]]&lt;20000,"Active", "Not Active")</f>
        <v>Not Active</v>
      </c>
      <c r="J2" s="5">
        <v>27796.92</v>
      </c>
      <c r="K2" s="5" t="str">
        <f t="shared" ref="K2:K65" si="2">IF(J2&lt;10000, "Low", IF(J2&lt;50000, "Medium", "High"))</f>
        <v>Medium</v>
      </c>
      <c r="L2" s="6" t="s">
        <v>24</v>
      </c>
      <c r="M2">
        <v>30</v>
      </c>
      <c r="N2" s="6" t="str">
        <f t="shared" ref="N2:N65" si="3">IF(M2&lt;18, "Teenagers", IF(M2&lt;=25, "Young Adults", IF(M2&lt;=35, "Adults", IF(M2&lt;=45, "Middle-Aged", IF(M2&lt;=60, "Older Adults", "Seniors")))))</f>
        <v>Adults</v>
      </c>
      <c r="O2" s="6" t="s">
        <v>25</v>
      </c>
      <c r="P2" s="6" t="s">
        <v>26</v>
      </c>
      <c r="Q2" t="s">
        <v>27</v>
      </c>
      <c r="R2" s="6" t="s">
        <v>28</v>
      </c>
      <c r="S2" s="6" t="s">
        <v>29</v>
      </c>
      <c r="T2" s="14">
        <v>3.95E-2</v>
      </c>
      <c r="U2">
        <v>3.95</v>
      </c>
      <c r="V2" t="str">
        <f>IF(fin_table[[#This Row],[Interest Rate(%)]]&gt;4,"high","low")</f>
        <v>low</v>
      </c>
      <c r="W2" s="5">
        <v>26681.654999999999</v>
      </c>
      <c r="X2" s="5">
        <f>fin_table[[#This Row],[Interest Rate]]*fin_table[[#This Row],[Loan Amount]]</f>
        <v>1053.9253724999999</v>
      </c>
      <c r="Y2">
        <v>13</v>
      </c>
      <c r="Z2" s="3">
        <v>459</v>
      </c>
      <c r="AA2" s="3" t="str">
        <f t="shared" ref="AA2:AA65" si="4">IF(Z2&lt;580, "Poor", IF(Z2&lt;670, "Fair", IF(Z2&lt;740, "Good", IF(Z2&lt;800, "Very Good", "Excellent"))))</f>
        <v>Poor</v>
      </c>
      <c r="AB2" s="3" cm="1">
        <f t="array" ref="AB2">_xlfn.IFS(fin_table[[#This Row],[Transaction Status]]="Failed", 1, fin_table[[#This Row],[Transaction Status]]="Completed",0,fin_table[[#This Row],[Transaction Status]]="Pending",2)</f>
        <v>1</v>
      </c>
      <c r="AC2" s="3" t="str">
        <f>IF(fin_table[[#This Row],[Loan Defaulters]]=1,"Default", "Good")</f>
        <v>Default</v>
      </c>
      <c r="AD2" s="3">
        <f t="shared" ref="AD2:AD65" si="5">IF(AA2="Poor", 1, IF(AA2="Fair", 2, IF(AA2="Good", 3, IF(AA2="Very Good", 4, IF(AA2="Excellent", 5, "")))))</f>
        <v>1</v>
      </c>
      <c r="AE2" s="4">
        <v>5918.52</v>
      </c>
      <c r="AF2" s="4" t="str">
        <f>IF(fin_table[[#This Row],[Monthly Income]]&lt;3000, "Low Income", IF(fin_table[[#This Row],[Monthly Income]]&lt;=5000, "Middle Income", "High Income"))</f>
        <v>High Income</v>
      </c>
      <c r="AG2" t="s">
        <v>30</v>
      </c>
      <c r="AH2" t="s">
        <v>3635</v>
      </c>
      <c r="AI2" t="str">
        <f t="shared" ref="AI2:AI65" si="6">IF(AND(W2&gt;33000, Z2&lt;600), "High-Risk", "Low-Risk")</f>
        <v>Low-Risk</v>
      </c>
    </row>
    <row r="3" spans="1:35" x14ac:dyDescent="0.35">
      <c r="A3" t="s">
        <v>31</v>
      </c>
      <c r="B3" t="s">
        <v>32</v>
      </c>
      <c r="C3" t="s">
        <v>33</v>
      </c>
      <c r="D3" s="1">
        <v>44656</v>
      </c>
      <c r="E3" s="1" t="str">
        <f t="shared" si="0"/>
        <v>05</v>
      </c>
      <c r="F3" s="1" t="str">
        <f t="shared" si="1"/>
        <v>Apr</v>
      </c>
      <c r="G3" s="6" t="s">
        <v>34</v>
      </c>
      <c r="H3" s="5">
        <v>6021.32</v>
      </c>
      <c r="I3" s="5" t="str">
        <f>IF(fin_table[[#This Row],[Account Balance]]&lt;20000,"Active", "Not Active")</f>
        <v>Not Active</v>
      </c>
      <c r="J3" s="5">
        <v>33863.1</v>
      </c>
      <c r="K3" s="5" t="str">
        <f t="shared" si="2"/>
        <v>Medium</v>
      </c>
      <c r="L3" s="6" t="s">
        <v>35</v>
      </c>
      <c r="M3">
        <v>32</v>
      </c>
      <c r="N3" s="6" t="str">
        <f t="shared" si="3"/>
        <v>Adults</v>
      </c>
      <c r="O3" s="6" t="s">
        <v>25</v>
      </c>
      <c r="P3" s="6" t="s">
        <v>36</v>
      </c>
      <c r="Q3" t="s">
        <v>37</v>
      </c>
      <c r="R3" s="6" t="s">
        <v>38</v>
      </c>
      <c r="S3" s="6" t="s">
        <v>29</v>
      </c>
      <c r="T3" s="14">
        <v>3.4099999999999998E-2</v>
      </c>
      <c r="U3">
        <v>3.41</v>
      </c>
      <c r="V3" t="str">
        <f>IF(fin_table[[#This Row],[Interest Rate(%)]]&gt;4,"high","low")</f>
        <v>low</v>
      </c>
      <c r="W3" s="5">
        <v>26681.654999999999</v>
      </c>
      <c r="X3" s="5">
        <f>fin_table[[#This Row],[Interest Rate]]*fin_table[[#This Row],[Loan Amount]]</f>
        <v>909.84443549999992</v>
      </c>
      <c r="Y3">
        <v>8</v>
      </c>
      <c r="Z3" s="3">
        <v>832</v>
      </c>
      <c r="AA3" s="3" t="str">
        <f t="shared" si="4"/>
        <v>Excellent</v>
      </c>
      <c r="AB3" s="3" cm="1">
        <f t="array" ref="AB3">_xlfn.IFS(fin_table[[#This Row],[Transaction Status]]="Failed", 1, fin_table[[#This Row],[Transaction Status]]="Completed",0,fin_table[[#This Row],[Transaction Status]]="Pending",2)</f>
        <v>1</v>
      </c>
      <c r="AC3" s="3" t="str">
        <f>IF(fin_table[[#This Row],[Loan Defaulters]]=1,"Default", "Good")</f>
        <v>Default</v>
      </c>
      <c r="AD3" s="3">
        <f t="shared" si="5"/>
        <v>5</v>
      </c>
      <c r="AE3" s="4">
        <v>4611.32</v>
      </c>
      <c r="AF3" s="4" t="str">
        <f>IF(fin_table[[#This Row],[Monthly Income]]&lt;3000, "Low Income", IF(fin_table[[#This Row],[Monthly Income]]&lt;=5000, "Middle Income", "High Income"))</f>
        <v>Middle Income</v>
      </c>
      <c r="AG3" t="s">
        <v>30</v>
      </c>
      <c r="AH3" t="s">
        <v>3635</v>
      </c>
      <c r="AI3" t="str">
        <f t="shared" si="6"/>
        <v>Low-Risk</v>
      </c>
    </row>
    <row r="4" spans="1:35" x14ac:dyDescent="0.35">
      <c r="A4" t="s">
        <v>39</v>
      </c>
      <c r="B4" t="s">
        <v>40</v>
      </c>
      <c r="C4" t="s">
        <v>41</v>
      </c>
      <c r="D4" s="1">
        <v>44743</v>
      </c>
      <c r="E4" s="1" t="str">
        <f t="shared" si="0"/>
        <v>01</v>
      </c>
      <c r="F4" s="1" t="str">
        <f t="shared" si="1"/>
        <v>Jul</v>
      </c>
      <c r="G4" s="6" t="s">
        <v>23</v>
      </c>
      <c r="H4" s="5">
        <v>430.5</v>
      </c>
      <c r="I4" s="5" t="str">
        <f>IF(fin_table[[#This Row],[Account Balance]]&lt;20000,"Active", "Not Active")</f>
        <v>Not Active</v>
      </c>
      <c r="J4" s="5">
        <v>35342.51</v>
      </c>
      <c r="K4" s="5" t="str">
        <f t="shared" si="2"/>
        <v>Medium</v>
      </c>
      <c r="L4" s="6" t="s">
        <v>35</v>
      </c>
      <c r="M4">
        <v>44</v>
      </c>
      <c r="N4" s="6" t="str">
        <f t="shared" si="3"/>
        <v>Middle-Aged</v>
      </c>
      <c r="O4" s="6" t="s">
        <v>42</v>
      </c>
      <c r="P4" s="6" t="s">
        <v>26</v>
      </c>
      <c r="Q4" t="s">
        <v>43</v>
      </c>
      <c r="R4" s="6" t="s">
        <v>28</v>
      </c>
      <c r="S4" s="6" t="s">
        <v>44</v>
      </c>
      <c r="T4" s="14">
        <v>3.6200000000000003E-2</v>
      </c>
      <c r="U4">
        <v>3.62</v>
      </c>
      <c r="V4" t="str">
        <f>IF(fin_table[[#This Row],[Interest Rate(%)]]&gt;4,"high","low")</f>
        <v>low</v>
      </c>
      <c r="W4" s="5">
        <v>26681.654999999999</v>
      </c>
      <c r="X4" s="5">
        <f>fin_table[[#This Row],[Interest Rate]]*fin_table[[#This Row],[Loan Amount]]</f>
        <v>965.87591100000009</v>
      </c>
      <c r="Y4">
        <v>13</v>
      </c>
      <c r="Z4" s="3">
        <v>434</v>
      </c>
      <c r="AA4" s="3" t="str">
        <f t="shared" si="4"/>
        <v>Poor</v>
      </c>
      <c r="AB4" s="3" cm="1">
        <f t="array" ref="AB4">_xlfn.IFS(fin_table[[#This Row],[Transaction Status]]="Failed", 1, fin_table[[#This Row],[Transaction Status]]="Completed",0,fin_table[[#This Row],[Transaction Status]]="Pending",2)</f>
        <v>0</v>
      </c>
      <c r="AC4" s="3" t="str">
        <f>IF(fin_table[[#This Row],[Loan Defaulters]]=1,"Default", "Good")</f>
        <v>Good</v>
      </c>
      <c r="AD4" s="3">
        <f t="shared" si="5"/>
        <v>1</v>
      </c>
      <c r="AE4" s="4">
        <v>12065.39</v>
      </c>
      <c r="AF4" s="4" t="str">
        <f>IF(fin_table[[#This Row],[Monthly Income]]&lt;3000, "Low Income", IF(fin_table[[#This Row],[Monthly Income]]&lt;=5000, "Middle Income", "High Income"))</f>
        <v>High Income</v>
      </c>
      <c r="AG4" t="s">
        <v>45</v>
      </c>
      <c r="AH4" t="s">
        <v>3635</v>
      </c>
      <c r="AI4" t="str">
        <f t="shared" si="6"/>
        <v>Low-Risk</v>
      </c>
    </row>
    <row r="5" spans="1:35" x14ac:dyDescent="0.35">
      <c r="A5" t="s">
        <v>46</v>
      </c>
      <c r="B5" t="s">
        <v>47</v>
      </c>
      <c r="C5" t="s">
        <v>48</v>
      </c>
      <c r="D5" s="1">
        <v>44668</v>
      </c>
      <c r="E5" s="1" t="str">
        <f t="shared" si="0"/>
        <v>17</v>
      </c>
      <c r="F5" s="1" t="str">
        <f t="shared" si="1"/>
        <v>Apr</v>
      </c>
      <c r="G5" s="6" t="s">
        <v>34</v>
      </c>
      <c r="H5" s="5">
        <v>3700.56</v>
      </c>
      <c r="I5" s="5" t="str">
        <f>IF(fin_table[[#This Row],[Account Balance]]&lt;20000,"Active", "Not Active")</f>
        <v>Active</v>
      </c>
      <c r="J5" s="5">
        <v>10997.21</v>
      </c>
      <c r="K5" s="5" t="str">
        <f t="shared" si="2"/>
        <v>Medium</v>
      </c>
      <c r="L5" s="6" t="s">
        <v>49</v>
      </c>
      <c r="M5">
        <v>32</v>
      </c>
      <c r="N5" s="6" t="str">
        <f t="shared" si="3"/>
        <v>Adults</v>
      </c>
      <c r="O5" s="6" t="s">
        <v>25</v>
      </c>
      <c r="P5" s="6" t="s">
        <v>50</v>
      </c>
      <c r="Q5" t="s">
        <v>51</v>
      </c>
      <c r="R5" s="6" t="s">
        <v>52</v>
      </c>
      <c r="S5" s="6" t="s">
        <v>29</v>
      </c>
      <c r="T5" s="14">
        <v>1.03E-2</v>
      </c>
      <c r="U5">
        <v>1.03</v>
      </c>
      <c r="V5" t="str">
        <f>IF(fin_table[[#This Row],[Interest Rate(%)]]&gt;4,"high","low")</f>
        <v>low</v>
      </c>
      <c r="W5" s="5">
        <v>48444.9</v>
      </c>
      <c r="X5" s="5">
        <f>fin_table[[#This Row],[Interest Rate]]*fin_table[[#This Row],[Loan Amount]]</f>
        <v>498.98247000000003</v>
      </c>
      <c r="Y5">
        <v>13</v>
      </c>
      <c r="Z5" s="3">
        <v>410</v>
      </c>
      <c r="AA5" s="3" t="str">
        <f t="shared" si="4"/>
        <v>Poor</v>
      </c>
      <c r="AB5" s="3" cm="1">
        <f t="array" ref="AB5">_xlfn.IFS(fin_table[[#This Row],[Transaction Status]]="Failed", 1, fin_table[[#This Row],[Transaction Status]]="Completed",0,fin_table[[#This Row],[Transaction Status]]="Pending",2)</f>
        <v>1</v>
      </c>
      <c r="AC5" s="3" t="str">
        <f>IF(fin_table[[#This Row],[Loan Defaulters]]=1,"Default", "Good")</f>
        <v>Default</v>
      </c>
      <c r="AD5" s="3">
        <f t="shared" si="5"/>
        <v>1</v>
      </c>
      <c r="AE5" s="4">
        <v>11263.51</v>
      </c>
      <c r="AF5" s="4" t="str">
        <f>IF(fin_table[[#This Row],[Monthly Income]]&lt;3000, "Low Income", IF(fin_table[[#This Row],[Monthly Income]]&lt;=5000, "Middle Income", "High Income"))</f>
        <v>High Income</v>
      </c>
      <c r="AG5" t="s">
        <v>30</v>
      </c>
      <c r="AH5" t="s">
        <v>3636</v>
      </c>
      <c r="AI5" t="str">
        <f t="shared" si="6"/>
        <v>High-Risk</v>
      </c>
    </row>
    <row r="6" spans="1:35" x14ac:dyDescent="0.35">
      <c r="A6" t="s">
        <v>53</v>
      </c>
      <c r="B6" t="s">
        <v>54</v>
      </c>
      <c r="C6" t="s">
        <v>55</v>
      </c>
      <c r="D6" s="1">
        <v>44750</v>
      </c>
      <c r="E6" s="1" t="str">
        <f t="shared" si="0"/>
        <v>08</v>
      </c>
      <c r="F6" s="1" t="str">
        <f t="shared" si="1"/>
        <v>Jul</v>
      </c>
      <c r="G6" s="6" t="s">
        <v>56</v>
      </c>
      <c r="H6" s="5">
        <v>7353.09</v>
      </c>
      <c r="I6" s="5" t="str">
        <f>IF(fin_table[[#This Row],[Account Balance]]&lt;20000,"Active", "Not Active")</f>
        <v>Not Active</v>
      </c>
      <c r="J6" s="5">
        <v>33045.71</v>
      </c>
      <c r="K6" s="5" t="str">
        <f t="shared" si="2"/>
        <v>Medium</v>
      </c>
      <c r="L6" s="6" t="s">
        <v>35</v>
      </c>
      <c r="M6">
        <v>45</v>
      </c>
      <c r="N6" s="6" t="str">
        <f t="shared" si="3"/>
        <v>Middle-Aged</v>
      </c>
      <c r="O6" s="6" t="s">
        <v>25</v>
      </c>
      <c r="P6" s="6" t="s">
        <v>36</v>
      </c>
      <c r="Q6" t="s">
        <v>57</v>
      </c>
      <c r="R6" s="6" t="s">
        <v>38</v>
      </c>
      <c r="S6" s="6" t="s">
        <v>44</v>
      </c>
      <c r="T6" s="14">
        <v>4.7100000000000003E-2</v>
      </c>
      <c r="U6">
        <v>4.71</v>
      </c>
      <c r="V6" t="str">
        <f>IF(fin_table[[#This Row],[Interest Rate(%)]]&gt;4,"high","low")</f>
        <v>high</v>
      </c>
      <c r="W6" s="5">
        <v>26681.654999999999</v>
      </c>
      <c r="X6" s="5">
        <f>fin_table[[#This Row],[Interest Rate]]*fin_table[[#This Row],[Loan Amount]]</f>
        <v>1256.7059505</v>
      </c>
      <c r="Y6">
        <v>5</v>
      </c>
      <c r="Z6" s="3">
        <v>582</v>
      </c>
      <c r="AA6" s="3" t="str">
        <f t="shared" si="4"/>
        <v>Fair</v>
      </c>
      <c r="AB6" s="3" cm="1">
        <f t="array" ref="AB6">_xlfn.IFS(fin_table[[#This Row],[Transaction Status]]="Failed", 1, fin_table[[#This Row],[Transaction Status]]="Completed",0,fin_table[[#This Row],[Transaction Status]]="Pending",2)</f>
        <v>0</v>
      </c>
      <c r="AC6" s="3" t="str">
        <f>IF(fin_table[[#This Row],[Loan Defaulters]]=1,"Default", "Good")</f>
        <v>Good</v>
      </c>
      <c r="AD6" s="3">
        <f t="shared" si="5"/>
        <v>2</v>
      </c>
      <c r="AE6" s="4">
        <v>10254.370000000001</v>
      </c>
      <c r="AF6" s="4" t="str">
        <f>IF(fin_table[[#This Row],[Monthly Income]]&lt;3000, "Low Income", IF(fin_table[[#This Row],[Monthly Income]]&lt;=5000, "Middle Income", "High Income"))</f>
        <v>High Income</v>
      </c>
      <c r="AG6" t="s">
        <v>45</v>
      </c>
      <c r="AH6" t="s">
        <v>3635</v>
      </c>
      <c r="AI6" t="str">
        <f t="shared" si="6"/>
        <v>Low-Risk</v>
      </c>
    </row>
    <row r="7" spans="1:35" x14ac:dyDescent="0.35">
      <c r="A7" t="s">
        <v>58</v>
      </c>
      <c r="B7" t="s">
        <v>59</v>
      </c>
      <c r="C7" t="s">
        <v>60</v>
      </c>
      <c r="D7" s="1">
        <v>45120</v>
      </c>
      <c r="E7" s="1" t="str">
        <f t="shared" si="0"/>
        <v>13</v>
      </c>
      <c r="F7" s="1" t="str">
        <f t="shared" si="1"/>
        <v>Jul</v>
      </c>
      <c r="G7" s="6" t="s">
        <v>34</v>
      </c>
      <c r="H7" s="5">
        <v>8221.74</v>
      </c>
      <c r="I7" s="5" t="str">
        <f>IF(fin_table[[#This Row],[Account Balance]]&lt;20000,"Active", "Not Active")</f>
        <v>Not Active</v>
      </c>
      <c r="J7" s="5">
        <v>41100.11</v>
      </c>
      <c r="K7" s="5" t="str">
        <f t="shared" si="2"/>
        <v>Medium</v>
      </c>
      <c r="L7" s="6" t="s">
        <v>49</v>
      </c>
      <c r="M7">
        <v>54</v>
      </c>
      <c r="N7" s="6" t="str">
        <f t="shared" si="3"/>
        <v>Older Adults</v>
      </c>
      <c r="O7" s="6" t="s">
        <v>25</v>
      </c>
      <c r="P7" s="6" t="s">
        <v>36</v>
      </c>
      <c r="Q7" t="s">
        <v>61</v>
      </c>
      <c r="R7" s="6" t="s">
        <v>38</v>
      </c>
      <c r="S7" s="6" t="s">
        <v>62</v>
      </c>
      <c r="T7" s="14">
        <v>1.2699999999999999E-2</v>
      </c>
      <c r="U7">
        <v>1.27</v>
      </c>
      <c r="V7" t="str">
        <f>IF(fin_table[[#This Row],[Interest Rate(%)]]&gt;4,"high","low")</f>
        <v>low</v>
      </c>
      <c r="W7" s="5">
        <v>16947.46</v>
      </c>
      <c r="X7" s="5">
        <f>fin_table[[#This Row],[Interest Rate]]*fin_table[[#This Row],[Loan Amount]]</f>
        <v>215.23274199999997</v>
      </c>
      <c r="Y7">
        <v>20</v>
      </c>
      <c r="Z7" s="3">
        <v>819</v>
      </c>
      <c r="AA7" s="3" t="str">
        <f t="shared" si="4"/>
        <v>Excellent</v>
      </c>
      <c r="AB7" s="3" cm="1">
        <f t="array" ref="AB7">_xlfn.IFS(fin_table[[#This Row],[Transaction Status]]="Failed", 1, fin_table[[#This Row],[Transaction Status]]="Completed",0,fin_table[[#This Row],[Transaction Status]]="Pending",2)</f>
        <v>2</v>
      </c>
      <c r="AC7" s="3" t="str">
        <f>IF(fin_table[[#This Row],[Loan Defaulters]]=1,"Default", "Good")</f>
        <v>Good</v>
      </c>
      <c r="AD7" s="3">
        <f t="shared" si="5"/>
        <v>5</v>
      </c>
      <c r="AE7" s="4">
        <v>7033.83</v>
      </c>
      <c r="AF7" s="4" t="str">
        <f>IF(fin_table[[#This Row],[Monthly Income]]&lt;3000, "Low Income", IF(fin_table[[#This Row],[Monthly Income]]&lt;=5000, "Middle Income", "High Income"))</f>
        <v>High Income</v>
      </c>
      <c r="AG7" t="s">
        <v>63</v>
      </c>
      <c r="AH7" t="s">
        <v>3636</v>
      </c>
      <c r="AI7" t="str">
        <f t="shared" si="6"/>
        <v>Low-Risk</v>
      </c>
    </row>
    <row r="8" spans="1:35" x14ac:dyDescent="0.35">
      <c r="A8" t="s">
        <v>64</v>
      </c>
      <c r="B8" t="s">
        <v>65</v>
      </c>
      <c r="C8" t="s">
        <v>66</v>
      </c>
      <c r="D8" s="1">
        <v>44635</v>
      </c>
      <c r="E8" s="1" t="str">
        <f t="shared" si="0"/>
        <v>15</v>
      </c>
      <c r="F8" s="1" t="str">
        <f t="shared" si="1"/>
        <v>Mar</v>
      </c>
      <c r="G8" s="6" t="s">
        <v>23</v>
      </c>
      <c r="H8" s="5">
        <v>3200.3</v>
      </c>
      <c r="I8" s="5" t="str">
        <f>IF(fin_table[[#This Row],[Account Balance]]&lt;20000,"Active", "Not Active")</f>
        <v>Active</v>
      </c>
      <c r="J8" s="5">
        <v>3450.91</v>
      </c>
      <c r="K8" s="5" t="str">
        <f t="shared" si="2"/>
        <v>Low</v>
      </c>
      <c r="L8" s="6" t="s">
        <v>49</v>
      </c>
      <c r="M8">
        <v>36</v>
      </c>
      <c r="N8" s="6" t="str">
        <f t="shared" si="3"/>
        <v>Middle-Aged</v>
      </c>
      <c r="O8" s="6" t="s">
        <v>42</v>
      </c>
      <c r="P8" s="6" t="s">
        <v>26</v>
      </c>
      <c r="Q8" t="s">
        <v>67</v>
      </c>
      <c r="R8" s="6" t="s">
        <v>28</v>
      </c>
      <c r="S8" s="6" t="s">
        <v>29</v>
      </c>
      <c r="T8" s="14">
        <v>2.47E-2</v>
      </c>
      <c r="U8">
        <v>2.4700000000000002</v>
      </c>
      <c r="V8" t="str">
        <f>IF(fin_table[[#This Row],[Interest Rate(%)]]&gt;4,"high","low")</f>
        <v>low</v>
      </c>
      <c r="W8" s="5">
        <v>18616.650000000001</v>
      </c>
      <c r="X8" s="5">
        <f>fin_table[[#This Row],[Interest Rate]]*fin_table[[#This Row],[Loan Amount]]</f>
        <v>459.83125500000006</v>
      </c>
      <c r="Y8">
        <v>4</v>
      </c>
      <c r="Z8" s="3">
        <v>493</v>
      </c>
      <c r="AA8" s="3" t="str">
        <f t="shared" si="4"/>
        <v>Poor</v>
      </c>
      <c r="AB8" s="3" cm="1">
        <f t="array" ref="AB8">_xlfn.IFS(fin_table[[#This Row],[Transaction Status]]="Failed", 1, fin_table[[#This Row],[Transaction Status]]="Completed",0,fin_table[[#This Row],[Transaction Status]]="Pending",2)</f>
        <v>1</v>
      </c>
      <c r="AC8" s="3" t="str">
        <f>IF(fin_table[[#This Row],[Loan Defaulters]]=1,"Default", "Good")</f>
        <v>Default</v>
      </c>
      <c r="AD8" s="3">
        <f t="shared" si="5"/>
        <v>1</v>
      </c>
      <c r="AE8" s="4">
        <v>13817.53</v>
      </c>
      <c r="AF8" s="4" t="str">
        <f>IF(fin_table[[#This Row],[Monthly Income]]&lt;3000, "Low Income", IF(fin_table[[#This Row],[Monthly Income]]&lt;=5000, "Middle Income", "High Income"))</f>
        <v>High Income</v>
      </c>
      <c r="AG8" t="s">
        <v>30</v>
      </c>
      <c r="AH8" t="s">
        <v>3636</v>
      </c>
      <c r="AI8" t="str">
        <f t="shared" si="6"/>
        <v>Low-Risk</v>
      </c>
    </row>
    <row r="9" spans="1:35" x14ac:dyDescent="0.35">
      <c r="A9" t="s">
        <v>68</v>
      </c>
      <c r="B9" t="s">
        <v>69</v>
      </c>
      <c r="C9" t="s">
        <v>70</v>
      </c>
      <c r="D9" s="1">
        <v>44688</v>
      </c>
      <c r="E9" s="1" t="str">
        <f t="shared" si="0"/>
        <v>07</v>
      </c>
      <c r="F9" s="1" t="str">
        <f t="shared" si="1"/>
        <v>May</v>
      </c>
      <c r="G9" s="6" t="s">
        <v>71</v>
      </c>
      <c r="H9" s="5">
        <v>8006.07</v>
      </c>
      <c r="I9" s="5" t="str">
        <f>IF(fin_table[[#This Row],[Account Balance]]&lt;20000,"Active", "Not Active")</f>
        <v>Not Active</v>
      </c>
      <c r="J9" s="5">
        <v>45664.54</v>
      </c>
      <c r="K9" s="5" t="str">
        <f t="shared" si="2"/>
        <v>Medium</v>
      </c>
      <c r="L9" s="6" t="s">
        <v>49</v>
      </c>
      <c r="M9">
        <v>43</v>
      </c>
      <c r="N9" s="6" t="str">
        <f t="shared" si="3"/>
        <v>Middle-Aged</v>
      </c>
      <c r="O9" s="6" t="s">
        <v>25</v>
      </c>
      <c r="P9" s="6" t="s">
        <v>26</v>
      </c>
      <c r="Q9" t="s">
        <v>72</v>
      </c>
      <c r="R9" s="6" t="s">
        <v>28</v>
      </c>
      <c r="S9" s="6" t="s">
        <v>44</v>
      </c>
      <c r="T9" s="14">
        <v>2.6100000000000002E-2</v>
      </c>
      <c r="U9">
        <v>2.61</v>
      </c>
      <c r="V9" t="str">
        <f>IF(fin_table[[#This Row],[Interest Rate(%)]]&gt;4,"high","low")</f>
        <v>low</v>
      </c>
      <c r="W9" s="5">
        <v>26681.654999999999</v>
      </c>
      <c r="X9" s="5">
        <f>fin_table[[#This Row],[Interest Rate]]*fin_table[[#This Row],[Loan Amount]]</f>
        <v>696.39119549999998</v>
      </c>
      <c r="Y9">
        <v>11</v>
      </c>
      <c r="Z9" s="3">
        <v>346</v>
      </c>
      <c r="AA9" s="3" t="str">
        <f t="shared" si="4"/>
        <v>Poor</v>
      </c>
      <c r="AB9" s="3" cm="1">
        <f t="array" ref="AB9">_xlfn.IFS(fin_table[[#This Row],[Transaction Status]]="Failed", 1, fin_table[[#This Row],[Transaction Status]]="Completed",0,fin_table[[#This Row],[Transaction Status]]="Pending",2)</f>
        <v>0</v>
      </c>
      <c r="AC9" s="3" t="str">
        <f>IF(fin_table[[#This Row],[Loan Defaulters]]=1,"Default", "Good")</f>
        <v>Good</v>
      </c>
      <c r="AD9" s="3">
        <f t="shared" si="5"/>
        <v>1</v>
      </c>
      <c r="AE9" s="4">
        <v>14603.92</v>
      </c>
      <c r="AF9" s="4" t="str">
        <f>IF(fin_table[[#This Row],[Monthly Income]]&lt;3000, "Low Income", IF(fin_table[[#This Row],[Monthly Income]]&lt;=5000, "Middle Income", "High Income"))</f>
        <v>High Income</v>
      </c>
      <c r="AG9" t="s">
        <v>45</v>
      </c>
      <c r="AH9" t="s">
        <v>3635</v>
      </c>
      <c r="AI9" t="str">
        <f t="shared" si="6"/>
        <v>Low-Risk</v>
      </c>
    </row>
    <row r="10" spans="1:35" x14ac:dyDescent="0.35">
      <c r="A10" t="s">
        <v>73</v>
      </c>
      <c r="B10" t="s">
        <v>74</v>
      </c>
      <c r="C10" t="s">
        <v>75</v>
      </c>
      <c r="D10" s="1">
        <v>44704</v>
      </c>
      <c r="E10" s="1" t="str">
        <f t="shared" si="0"/>
        <v>23</v>
      </c>
      <c r="F10" s="1" t="str">
        <f t="shared" si="1"/>
        <v>May</v>
      </c>
      <c r="G10" s="6" t="s">
        <v>34</v>
      </c>
      <c r="H10" s="5">
        <v>9680.7800000000007</v>
      </c>
      <c r="I10" s="5" t="str">
        <f>IF(fin_table[[#This Row],[Account Balance]]&lt;20000,"Active", "Not Active")</f>
        <v>Active</v>
      </c>
      <c r="J10" s="5">
        <v>2445.6999999999998</v>
      </c>
      <c r="K10" s="5" t="str">
        <f t="shared" si="2"/>
        <v>Low</v>
      </c>
      <c r="L10" s="6" t="s">
        <v>24</v>
      </c>
      <c r="M10">
        <v>69</v>
      </c>
      <c r="N10" s="6" t="str">
        <f t="shared" si="3"/>
        <v>Seniors</v>
      </c>
      <c r="O10" s="6" t="s">
        <v>25</v>
      </c>
      <c r="P10" s="6" t="s">
        <v>50</v>
      </c>
      <c r="Q10" t="s">
        <v>76</v>
      </c>
      <c r="R10" s="6" t="s">
        <v>38</v>
      </c>
      <c r="S10" s="6" t="s">
        <v>29</v>
      </c>
      <c r="T10" s="14">
        <v>1.01E-2</v>
      </c>
      <c r="U10">
        <v>1.01</v>
      </c>
      <c r="V10" t="str">
        <f>IF(fin_table[[#This Row],[Interest Rate(%)]]&gt;4,"high","low")</f>
        <v>low</v>
      </c>
      <c r="W10" s="5">
        <v>26681.654999999999</v>
      </c>
      <c r="X10" s="5">
        <f>fin_table[[#This Row],[Interest Rate]]*fin_table[[#This Row],[Loan Amount]]</f>
        <v>269.48471549999999</v>
      </c>
      <c r="Y10">
        <v>13</v>
      </c>
      <c r="Z10" s="3">
        <v>641</v>
      </c>
      <c r="AA10" s="3" t="str">
        <f t="shared" si="4"/>
        <v>Fair</v>
      </c>
      <c r="AB10" s="3" cm="1">
        <f t="array" ref="AB10">_xlfn.IFS(fin_table[[#This Row],[Transaction Status]]="Failed", 1, fin_table[[#This Row],[Transaction Status]]="Completed",0,fin_table[[#This Row],[Transaction Status]]="Pending",2)</f>
        <v>1</v>
      </c>
      <c r="AC10" s="3" t="str">
        <f>IF(fin_table[[#This Row],[Loan Defaulters]]=1,"Default", "Good")</f>
        <v>Default</v>
      </c>
      <c r="AD10" s="3">
        <f t="shared" si="5"/>
        <v>2</v>
      </c>
      <c r="AE10" s="4">
        <v>4257.3100000000004</v>
      </c>
      <c r="AF10" s="4" t="str">
        <f>IF(fin_table[[#This Row],[Monthly Income]]&lt;3000, "Low Income", IF(fin_table[[#This Row],[Monthly Income]]&lt;=5000, "Middle Income", "High Income"))</f>
        <v>Middle Income</v>
      </c>
      <c r="AG10" t="s">
        <v>30</v>
      </c>
      <c r="AH10" t="s">
        <v>3635</v>
      </c>
      <c r="AI10" t="str">
        <f t="shared" si="6"/>
        <v>Low-Risk</v>
      </c>
    </row>
    <row r="11" spans="1:35" x14ac:dyDescent="0.35">
      <c r="A11" t="s">
        <v>77</v>
      </c>
      <c r="B11" t="s">
        <v>78</v>
      </c>
      <c r="C11" t="s">
        <v>79</v>
      </c>
      <c r="D11" s="1">
        <v>44715</v>
      </c>
      <c r="E11" s="1" t="str">
        <f t="shared" si="0"/>
        <v>03</v>
      </c>
      <c r="F11" s="1" t="str">
        <f t="shared" si="1"/>
        <v>Jun</v>
      </c>
      <c r="G11" s="6" t="s">
        <v>56</v>
      </c>
      <c r="H11" s="5">
        <v>8583.0499999999993</v>
      </c>
      <c r="I11" s="5" t="str">
        <f>IF(fin_table[[#This Row],[Account Balance]]&lt;20000,"Active", "Not Active")</f>
        <v>Active</v>
      </c>
      <c r="J11" s="5">
        <v>18442.580000000002</v>
      </c>
      <c r="K11" s="5" t="str">
        <f t="shared" si="2"/>
        <v>Medium</v>
      </c>
      <c r="L11" s="6" t="s">
        <v>24</v>
      </c>
      <c r="M11">
        <v>43</v>
      </c>
      <c r="N11" s="6" t="str">
        <f t="shared" si="3"/>
        <v>Middle-Aged</v>
      </c>
      <c r="O11" s="6" t="s">
        <v>25</v>
      </c>
      <c r="P11" s="6" t="s">
        <v>36</v>
      </c>
      <c r="Q11" t="s">
        <v>80</v>
      </c>
      <c r="R11" s="6" t="s">
        <v>28</v>
      </c>
      <c r="S11" s="6" t="s">
        <v>44</v>
      </c>
      <c r="T11" s="14">
        <v>2.9899999999999999E-2</v>
      </c>
      <c r="U11">
        <v>2.99</v>
      </c>
      <c r="V11" t="str">
        <f>IF(fin_table[[#This Row],[Interest Rate(%)]]&gt;4,"high","low")</f>
        <v>low</v>
      </c>
      <c r="W11" s="5">
        <v>26681.654999999999</v>
      </c>
      <c r="X11" s="5">
        <f>fin_table[[#This Row],[Interest Rate]]*fin_table[[#This Row],[Loan Amount]]</f>
        <v>797.78148449999992</v>
      </c>
      <c r="Y11">
        <v>13</v>
      </c>
      <c r="Z11" s="3">
        <v>541</v>
      </c>
      <c r="AA11" s="3" t="str">
        <f t="shared" si="4"/>
        <v>Poor</v>
      </c>
      <c r="AB11" s="3" cm="1">
        <f t="array" ref="AB11">_xlfn.IFS(fin_table[[#This Row],[Transaction Status]]="Failed", 1, fin_table[[#This Row],[Transaction Status]]="Completed",0,fin_table[[#This Row],[Transaction Status]]="Pending",2)</f>
        <v>0</v>
      </c>
      <c r="AC11" s="3" t="str">
        <f>IF(fin_table[[#This Row],[Loan Defaulters]]=1,"Default", "Good")</f>
        <v>Good</v>
      </c>
      <c r="AD11" s="3">
        <f t="shared" si="5"/>
        <v>1</v>
      </c>
      <c r="AE11" s="4">
        <v>4899.16</v>
      </c>
      <c r="AF11" s="4" t="str">
        <f>IF(fin_table[[#This Row],[Monthly Income]]&lt;3000, "Low Income", IF(fin_table[[#This Row],[Monthly Income]]&lt;=5000, "Middle Income", "High Income"))</f>
        <v>Middle Income</v>
      </c>
      <c r="AG11" t="s">
        <v>45</v>
      </c>
      <c r="AH11" t="s">
        <v>3635</v>
      </c>
      <c r="AI11" t="str">
        <f t="shared" si="6"/>
        <v>Low-Risk</v>
      </c>
    </row>
    <row r="12" spans="1:35" x14ac:dyDescent="0.35">
      <c r="A12" t="s">
        <v>81</v>
      </c>
      <c r="B12" t="s">
        <v>82</v>
      </c>
      <c r="C12" t="s">
        <v>83</v>
      </c>
      <c r="D12" s="1">
        <v>45112</v>
      </c>
      <c r="E12" s="1" t="str">
        <f t="shared" si="0"/>
        <v>05</v>
      </c>
      <c r="F12" s="1" t="str">
        <f t="shared" si="1"/>
        <v>Jul</v>
      </c>
      <c r="G12" s="6" t="s">
        <v>34</v>
      </c>
      <c r="H12" s="5">
        <v>1264.68</v>
      </c>
      <c r="I12" s="5" t="str">
        <f>IF(fin_table[[#This Row],[Account Balance]]&lt;20000,"Active", "Not Active")</f>
        <v>Active</v>
      </c>
      <c r="J12" s="5">
        <v>1774.85</v>
      </c>
      <c r="K12" s="5" t="str">
        <f t="shared" si="2"/>
        <v>Low</v>
      </c>
      <c r="L12" s="6" t="s">
        <v>35</v>
      </c>
      <c r="M12">
        <v>42</v>
      </c>
      <c r="N12" s="6" t="str">
        <f t="shared" si="3"/>
        <v>Middle-Aged</v>
      </c>
      <c r="O12" s="6" t="s">
        <v>42</v>
      </c>
      <c r="P12" s="6" t="s">
        <v>50</v>
      </c>
      <c r="Q12" t="s">
        <v>84</v>
      </c>
      <c r="R12" s="6" t="s">
        <v>52</v>
      </c>
      <c r="S12" s="6" t="s">
        <v>62</v>
      </c>
      <c r="T12" s="14">
        <v>4.0099999999999997E-2</v>
      </c>
      <c r="U12">
        <v>4.01</v>
      </c>
      <c r="V12" t="str">
        <f>IF(fin_table[[#This Row],[Interest Rate(%)]]&gt;4,"high","low")</f>
        <v>high</v>
      </c>
      <c r="W12" s="5">
        <v>26995.07</v>
      </c>
      <c r="X12" s="5">
        <f>fin_table[[#This Row],[Interest Rate]]*fin_table[[#This Row],[Loan Amount]]</f>
        <v>1082.502307</v>
      </c>
      <c r="Y12">
        <v>13</v>
      </c>
      <c r="Z12" s="3">
        <v>821</v>
      </c>
      <c r="AA12" s="3" t="str">
        <f t="shared" si="4"/>
        <v>Excellent</v>
      </c>
      <c r="AB12" s="3" cm="1">
        <f t="array" ref="AB12">_xlfn.IFS(fin_table[[#This Row],[Transaction Status]]="Failed", 1, fin_table[[#This Row],[Transaction Status]]="Completed",0,fin_table[[#This Row],[Transaction Status]]="Pending",2)</f>
        <v>2</v>
      </c>
      <c r="AC12" s="3" t="str">
        <f>IF(fin_table[[#This Row],[Loan Defaulters]]=1,"Default", "Good")</f>
        <v>Good</v>
      </c>
      <c r="AD12" s="3">
        <f t="shared" si="5"/>
        <v>5</v>
      </c>
      <c r="AE12" s="4">
        <v>8833.2000000000007</v>
      </c>
      <c r="AF12" s="4" t="str">
        <f>IF(fin_table[[#This Row],[Monthly Income]]&lt;3000, "Low Income", IF(fin_table[[#This Row],[Monthly Income]]&lt;=5000, "Middle Income", "High Income"))</f>
        <v>High Income</v>
      </c>
      <c r="AG12" t="s">
        <v>45</v>
      </c>
      <c r="AH12" t="s">
        <v>3636</v>
      </c>
      <c r="AI12" t="str">
        <f t="shared" si="6"/>
        <v>Low-Risk</v>
      </c>
    </row>
    <row r="13" spans="1:35" x14ac:dyDescent="0.35">
      <c r="A13" t="s">
        <v>85</v>
      </c>
      <c r="B13" t="s">
        <v>86</v>
      </c>
      <c r="C13" t="s">
        <v>87</v>
      </c>
      <c r="D13" s="1">
        <v>44998</v>
      </c>
      <c r="E13" s="1" t="str">
        <f t="shared" si="0"/>
        <v>13</v>
      </c>
      <c r="F13" s="1" t="str">
        <f t="shared" si="1"/>
        <v>Mar</v>
      </c>
      <c r="G13" s="6" t="s">
        <v>34</v>
      </c>
      <c r="H13" s="5">
        <v>7423.33</v>
      </c>
      <c r="I13" s="5" t="str">
        <f>IF(fin_table[[#This Row],[Account Balance]]&lt;20000,"Active", "Not Active")</f>
        <v>Active</v>
      </c>
      <c r="J13" s="5">
        <v>4780.1099999999997</v>
      </c>
      <c r="K13" s="5" t="str">
        <f t="shared" si="2"/>
        <v>Low</v>
      </c>
      <c r="L13" s="6" t="s">
        <v>24</v>
      </c>
      <c r="M13">
        <v>43</v>
      </c>
      <c r="N13" s="6" t="str">
        <f t="shared" si="3"/>
        <v>Middle-Aged</v>
      </c>
      <c r="O13" s="6" t="s">
        <v>42</v>
      </c>
      <c r="P13" s="6" t="s">
        <v>26</v>
      </c>
      <c r="Q13" t="s">
        <v>88</v>
      </c>
      <c r="R13" s="6" t="s">
        <v>28</v>
      </c>
      <c r="S13" s="6" t="s">
        <v>44</v>
      </c>
      <c r="T13" s="14">
        <v>4.2900000000000001E-2</v>
      </c>
      <c r="U13">
        <v>4.29</v>
      </c>
      <c r="V13" t="str">
        <f>IF(fin_table[[#This Row],[Interest Rate(%)]]&gt;4,"high","low")</f>
        <v>high</v>
      </c>
      <c r="W13" s="5">
        <v>26681.654999999999</v>
      </c>
      <c r="X13" s="5">
        <f>fin_table[[#This Row],[Interest Rate]]*fin_table[[#This Row],[Loan Amount]]</f>
        <v>1144.6429994999999</v>
      </c>
      <c r="Y13">
        <v>13</v>
      </c>
      <c r="Z13" s="3">
        <v>669</v>
      </c>
      <c r="AA13" s="3" t="str">
        <f t="shared" si="4"/>
        <v>Fair</v>
      </c>
      <c r="AB13" s="3" cm="1">
        <f t="array" ref="AB13">_xlfn.IFS(fin_table[[#This Row],[Transaction Status]]="Failed", 1, fin_table[[#This Row],[Transaction Status]]="Completed",0,fin_table[[#This Row],[Transaction Status]]="Pending",2)</f>
        <v>0</v>
      </c>
      <c r="AC13" s="3" t="str">
        <f>IF(fin_table[[#This Row],[Loan Defaulters]]=1,"Default", "Good")</f>
        <v>Good</v>
      </c>
      <c r="AD13" s="3">
        <f t="shared" si="5"/>
        <v>2</v>
      </c>
      <c r="AE13" s="4">
        <v>3186.26</v>
      </c>
      <c r="AF13" s="4" t="str">
        <f>IF(fin_table[[#This Row],[Monthly Income]]&lt;3000, "Low Income", IF(fin_table[[#This Row],[Monthly Income]]&lt;=5000, "Middle Income", "High Income"))</f>
        <v>Middle Income</v>
      </c>
      <c r="AG13" t="s">
        <v>30</v>
      </c>
      <c r="AH13" t="s">
        <v>3635</v>
      </c>
      <c r="AI13" t="str">
        <f t="shared" si="6"/>
        <v>Low-Risk</v>
      </c>
    </row>
    <row r="14" spans="1:35" x14ac:dyDescent="0.35">
      <c r="A14" t="s">
        <v>89</v>
      </c>
      <c r="B14" t="s">
        <v>90</v>
      </c>
      <c r="C14" t="s">
        <v>91</v>
      </c>
      <c r="D14" s="1">
        <v>44716</v>
      </c>
      <c r="E14" s="1" t="str">
        <f t="shared" si="0"/>
        <v>04</v>
      </c>
      <c r="F14" s="1" t="str">
        <f t="shared" si="1"/>
        <v>Jun</v>
      </c>
      <c r="G14" s="6" t="s">
        <v>34</v>
      </c>
      <c r="H14" s="5">
        <v>3264.7</v>
      </c>
      <c r="I14" s="5" t="str">
        <f>IF(fin_table[[#This Row],[Account Balance]]&lt;20000,"Active", "Not Active")</f>
        <v>Not Active</v>
      </c>
      <c r="J14" s="5">
        <v>45647.25</v>
      </c>
      <c r="K14" s="5" t="str">
        <f t="shared" si="2"/>
        <v>Medium</v>
      </c>
      <c r="L14" s="6" t="s">
        <v>35</v>
      </c>
      <c r="M14">
        <v>43</v>
      </c>
      <c r="N14" s="6" t="str">
        <f t="shared" si="3"/>
        <v>Middle-Aged</v>
      </c>
      <c r="O14" s="6" t="s">
        <v>25</v>
      </c>
      <c r="P14" s="6" t="s">
        <v>36</v>
      </c>
      <c r="Q14" t="s">
        <v>92</v>
      </c>
      <c r="R14" s="6" t="s">
        <v>28</v>
      </c>
      <c r="S14" s="6" t="s">
        <v>29</v>
      </c>
      <c r="T14" s="14">
        <v>4.5199999999999997E-2</v>
      </c>
      <c r="U14">
        <v>4.5199999999999996</v>
      </c>
      <c r="V14" t="str">
        <f>IF(fin_table[[#This Row],[Interest Rate(%)]]&gt;4,"high","low")</f>
        <v>high</v>
      </c>
      <c r="W14" s="5">
        <v>26681.654999999999</v>
      </c>
      <c r="X14" s="5">
        <f>fin_table[[#This Row],[Interest Rate]]*fin_table[[#This Row],[Loan Amount]]</f>
        <v>1206.0108059999998</v>
      </c>
      <c r="Y14">
        <v>6</v>
      </c>
      <c r="Z14" s="3">
        <v>430</v>
      </c>
      <c r="AA14" s="3" t="str">
        <f t="shared" si="4"/>
        <v>Poor</v>
      </c>
      <c r="AB14" s="3" cm="1">
        <f t="array" ref="AB14">_xlfn.IFS(fin_table[[#This Row],[Transaction Status]]="Failed", 1, fin_table[[#This Row],[Transaction Status]]="Completed",0,fin_table[[#This Row],[Transaction Status]]="Pending",2)</f>
        <v>1</v>
      </c>
      <c r="AC14" s="3" t="str">
        <f>IF(fin_table[[#This Row],[Loan Defaulters]]=1,"Default", "Good")</f>
        <v>Default</v>
      </c>
      <c r="AD14" s="3">
        <f t="shared" si="5"/>
        <v>1</v>
      </c>
      <c r="AE14" s="4">
        <v>7673.83</v>
      </c>
      <c r="AF14" s="4" t="str">
        <f>IF(fin_table[[#This Row],[Monthly Income]]&lt;3000, "Low Income", IF(fin_table[[#This Row],[Monthly Income]]&lt;=5000, "Middle Income", "High Income"))</f>
        <v>High Income</v>
      </c>
      <c r="AG14" t="s">
        <v>63</v>
      </c>
      <c r="AH14" t="s">
        <v>3635</v>
      </c>
      <c r="AI14" t="str">
        <f t="shared" si="6"/>
        <v>Low-Risk</v>
      </c>
    </row>
    <row r="15" spans="1:35" x14ac:dyDescent="0.35">
      <c r="A15" t="s">
        <v>93</v>
      </c>
      <c r="B15" t="s">
        <v>94</v>
      </c>
      <c r="C15" t="s">
        <v>95</v>
      </c>
      <c r="D15" s="1">
        <v>44719</v>
      </c>
      <c r="E15" s="1" t="str">
        <f t="shared" si="0"/>
        <v>07</v>
      </c>
      <c r="F15" s="1" t="str">
        <f t="shared" si="1"/>
        <v>Jun</v>
      </c>
      <c r="G15" s="6" t="s">
        <v>56</v>
      </c>
      <c r="H15" s="5">
        <v>9885.32</v>
      </c>
      <c r="I15" s="5" t="str">
        <f>IF(fin_table[[#This Row],[Account Balance]]&lt;20000,"Active", "Not Active")</f>
        <v>Active</v>
      </c>
      <c r="J15" s="5">
        <v>18388.18</v>
      </c>
      <c r="K15" s="5" t="str">
        <f t="shared" si="2"/>
        <v>Medium</v>
      </c>
      <c r="L15" s="6" t="s">
        <v>24</v>
      </c>
      <c r="M15">
        <v>63</v>
      </c>
      <c r="N15" s="6" t="str">
        <f t="shared" si="3"/>
        <v>Seniors</v>
      </c>
      <c r="O15" s="6" t="s">
        <v>25</v>
      </c>
      <c r="P15" s="6" t="s">
        <v>50</v>
      </c>
      <c r="Q15" t="s">
        <v>96</v>
      </c>
      <c r="R15" s="6" t="s">
        <v>38</v>
      </c>
      <c r="S15" s="6" t="s">
        <v>44</v>
      </c>
      <c r="T15" s="14">
        <v>2.9499999999999998E-2</v>
      </c>
      <c r="U15">
        <v>2.95</v>
      </c>
      <c r="V15" t="str">
        <f>IF(fin_table[[#This Row],[Interest Rate(%)]]&gt;4,"high","low")</f>
        <v>low</v>
      </c>
      <c r="W15" s="5">
        <v>26681.654999999999</v>
      </c>
      <c r="X15" s="5">
        <f>fin_table[[#This Row],[Interest Rate]]*fin_table[[#This Row],[Loan Amount]]</f>
        <v>787.10882249999997</v>
      </c>
      <c r="Y15">
        <v>13</v>
      </c>
      <c r="Z15" s="3">
        <v>569</v>
      </c>
      <c r="AA15" s="3" t="str">
        <f t="shared" si="4"/>
        <v>Poor</v>
      </c>
      <c r="AB15" s="3" cm="1">
        <f t="array" ref="AB15">_xlfn.IFS(fin_table[[#This Row],[Transaction Status]]="Failed", 1, fin_table[[#This Row],[Transaction Status]]="Completed",0,fin_table[[#This Row],[Transaction Status]]="Pending",2)</f>
        <v>0</v>
      </c>
      <c r="AC15" s="3" t="str">
        <f>IF(fin_table[[#This Row],[Loan Defaulters]]=1,"Default", "Good")</f>
        <v>Good</v>
      </c>
      <c r="AD15" s="3">
        <f t="shared" si="5"/>
        <v>1</v>
      </c>
      <c r="AE15" s="4">
        <v>9563.2900000000009</v>
      </c>
      <c r="AF15" s="4" t="str">
        <f>IF(fin_table[[#This Row],[Monthly Income]]&lt;3000, "Low Income", IF(fin_table[[#This Row],[Monthly Income]]&lt;=5000, "Middle Income", "High Income"))</f>
        <v>High Income</v>
      </c>
      <c r="AG15" t="s">
        <v>45</v>
      </c>
      <c r="AH15" t="s">
        <v>3635</v>
      </c>
      <c r="AI15" t="str">
        <f t="shared" si="6"/>
        <v>Low-Risk</v>
      </c>
    </row>
    <row r="16" spans="1:35" x14ac:dyDescent="0.35">
      <c r="A16" t="s">
        <v>97</v>
      </c>
      <c r="B16" t="s">
        <v>98</v>
      </c>
      <c r="C16" t="s">
        <v>99</v>
      </c>
      <c r="D16" s="1">
        <v>44860</v>
      </c>
      <c r="E16" s="1" t="str">
        <f t="shared" si="0"/>
        <v>26</v>
      </c>
      <c r="F16" s="1" t="str">
        <f t="shared" si="1"/>
        <v>Oct</v>
      </c>
      <c r="G16" s="6" t="s">
        <v>23</v>
      </c>
      <c r="H16" s="5">
        <v>4905.05</v>
      </c>
      <c r="I16" s="5" t="str">
        <f>IF(fin_table[[#This Row],[Account Balance]]&lt;20000,"Active", "Not Active")</f>
        <v>Not Active</v>
      </c>
      <c r="J16" s="5">
        <v>21813.8</v>
      </c>
      <c r="K16" s="5" t="str">
        <f t="shared" si="2"/>
        <v>Medium</v>
      </c>
      <c r="L16" s="6" t="s">
        <v>100</v>
      </c>
      <c r="M16">
        <v>45</v>
      </c>
      <c r="N16" s="6" t="str">
        <f t="shared" si="3"/>
        <v>Middle-Aged</v>
      </c>
      <c r="O16" s="6" t="s">
        <v>42</v>
      </c>
      <c r="P16" s="6" t="s">
        <v>50</v>
      </c>
      <c r="Q16" t="s">
        <v>101</v>
      </c>
      <c r="R16" s="6" t="s">
        <v>28</v>
      </c>
      <c r="S16" s="6" t="s">
        <v>29</v>
      </c>
      <c r="T16" s="14">
        <v>3.5200000000000002E-2</v>
      </c>
      <c r="U16">
        <v>3.52</v>
      </c>
      <c r="V16" t="str">
        <f>IF(fin_table[[#This Row],[Interest Rate(%)]]&gt;4,"high","low")</f>
        <v>low</v>
      </c>
      <c r="W16" s="5">
        <v>20349.62</v>
      </c>
      <c r="X16" s="5">
        <f>fin_table[[#This Row],[Interest Rate]]*fin_table[[#This Row],[Loan Amount]]</f>
        <v>716.30662400000006</v>
      </c>
      <c r="Y16">
        <v>21</v>
      </c>
      <c r="Z16" s="3">
        <v>360</v>
      </c>
      <c r="AA16" s="3" t="str">
        <f t="shared" si="4"/>
        <v>Poor</v>
      </c>
      <c r="AB16" s="3" cm="1">
        <f t="array" ref="AB16">_xlfn.IFS(fin_table[[#This Row],[Transaction Status]]="Failed", 1, fin_table[[#This Row],[Transaction Status]]="Completed",0,fin_table[[#This Row],[Transaction Status]]="Pending",2)</f>
        <v>1</v>
      </c>
      <c r="AC16" s="3" t="str">
        <f>IF(fin_table[[#This Row],[Loan Defaulters]]=1,"Default", "Good")</f>
        <v>Default</v>
      </c>
      <c r="AD16" s="3">
        <f t="shared" si="5"/>
        <v>1</v>
      </c>
      <c r="AE16" s="4">
        <v>8786.9599999999991</v>
      </c>
      <c r="AF16" s="4" t="str">
        <f>IF(fin_table[[#This Row],[Monthly Income]]&lt;3000, "Low Income", IF(fin_table[[#This Row],[Monthly Income]]&lt;=5000, "Middle Income", "High Income"))</f>
        <v>High Income</v>
      </c>
      <c r="AG16" t="s">
        <v>63</v>
      </c>
      <c r="AH16" t="s">
        <v>3636</v>
      </c>
      <c r="AI16" t="str">
        <f t="shared" si="6"/>
        <v>Low-Risk</v>
      </c>
    </row>
    <row r="17" spans="1:35" x14ac:dyDescent="0.35">
      <c r="A17" t="s">
        <v>102</v>
      </c>
      <c r="B17" t="s">
        <v>103</v>
      </c>
      <c r="C17" t="s">
        <v>104</v>
      </c>
      <c r="D17" s="1">
        <v>44751</v>
      </c>
      <c r="E17" s="1" t="str">
        <f t="shared" si="0"/>
        <v>09</v>
      </c>
      <c r="F17" s="1" t="str">
        <f t="shared" si="1"/>
        <v>Jul</v>
      </c>
      <c r="G17" s="6" t="s">
        <v>34</v>
      </c>
      <c r="H17" s="5">
        <v>1312.1</v>
      </c>
      <c r="I17" s="5" t="str">
        <f>IF(fin_table[[#This Row],[Account Balance]]&lt;20000,"Active", "Not Active")</f>
        <v>Active</v>
      </c>
      <c r="J17" s="5">
        <v>11551.87</v>
      </c>
      <c r="K17" s="5" t="str">
        <f t="shared" si="2"/>
        <v>Medium</v>
      </c>
      <c r="L17" s="6" t="s">
        <v>100</v>
      </c>
      <c r="M17">
        <v>66</v>
      </c>
      <c r="N17" s="6" t="str">
        <f t="shared" si="3"/>
        <v>Seniors</v>
      </c>
      <c r="O17" s="6" t="s">
        <v>42</v>
      </c>
      <c r="P17" s="6" t="s">
        <v>50</v>
      </c>
      <c r="Q17" t="s">
        <v>105</v>
      </c>
      <c r="R17" s="6" t="s">
        <v>28</v>
      </c>
      <c r="S17" s="6" t="s">
        <v>62</v>
      </c>
      <c r="T17" s="14">
        <v>1.32E-2</v>
      </c>
      <c r="U17">
        <v>1.32</v>
      </c>
      <c r="V17" t="str">
        <f>IF(fin_table[[#This Row],[Interest Rate(%)]]&gt;4,"high","low")</f>
        <v>low</v>
      </c>
      <c r="W17" s="5">
        <v>29371.8</v>
      </c>
      <c r="X17" s="5">
        <f>fin_table[[#This Row],[Interest Rate]]*fin_table[[#This Row],[Loan Amount]]</f>
        <v>387.70776000000001</v>
      </c>
      <c r="Y17">
        <v>16</v>
      </c>
      <c r="Z17" s="3">
        <v>463</v>
      </c>
      <c r="AA17" s="3" t="str">
        <f t="shared" si="4"/>
        <v>Poor</v>
      </c>
      <c r="AB17" s="3" cm="1">
        <f t="array" ref="AB17">_xlfn.IFS(fin_table[[#This Row],[Transaction Status]]="Failed", 1, fin_table[[#This Row],[Transaction Status]]="Completed",0,fin_table[[#This Row],[Transaction Status]]="Pending",2)</f>
        <v>2</v>
      </c>
      <c r="AC17" s="3" t="str">
        <f>IF(fin_table[[#This Row],[Loan Defaulters]]=1,"Default", "Good")</f>
        <v>Good</v>
      </c>
      <c r="AD17" s="3">
        <f t="shared" si="5"/>
        <v>1</v>
      </c>
      <c r="AE17" s="4">
        <v>6301.81</v>
      </c>
      <c r="AF17" s="4" t="str">
        <f>IF(fin_table[[#This Row],[Monthly Income]]&lt;3000, "Low Income", IF(fin_table[[#This Row],[Monthly Income]]&lt;=5000, "Middle Income", "High Income"))</f>
        <v>High Income</v>
      </c>
      <c r="AG17" t="s">
        <v>30</v>
      </c>
      <c r="AH17" t="s">
        <v>3636</v>
      </c>
      <c r="AI17" t="str">
        <f t="shared" si="6"/>
        <v>Low-Risk</v>
      </c>
    </row>
    <row r="18" spans="1:35" x14ac:dyDescent="0.35">
      <c r="A18" t="s">
        <v>106</v>
      </c>
      <c r="B18" t="s">
        <v>107</v>
      </c>
      <c r="C18" t="s">
        <v>108</v>
      </c>
      <c r="D18" s="1">
        <v>44640</v>
      </c>
      <c r="E18" s="1" t="str">
        <f t="shared" si="0"/>
        <v>20</v>
      </c>
      <c r="F18" s="1" t="str">
        <f t="shared" si="1"/>
        <v>Mar</v>
      </c>
      <c r="G18" s="6" t="s">
        <v>34</v>
      </c>
      <c r="H18" s="5">
        <v>7279.34</v>
      </c>
      <c r="I18" s="5" t="str">
        <f>IF(fin_table[[#This Row],[Account Balance]]&lt;20000,"Active", "Not Active")</f>
        <v>Not Active</v>
      </c>
      <c r="J18" s="5">
        <v>30257.69</v>
      </c>
      <c r="K18" s="5" t="str">
        <f t="shared" si="2"/>
        <v>Medium</v>
      </c>
      <c r="L18" s="6" t="s">
        <v>35</v>
      </c>
      <c r="M18">
        <v>35</v>
      </c>
      <c r="N18" s="6" t="str">
        <f t="shared" si="3"/>
        <v>Adults</v>
      </c>
      <c r="O18" s="6" t="s">
        <v>25</v>
      </c>
      <c r="P18" s="6" t="s">
        <v>50</v>
      </c>
      <c r="Q18" t="s">
        <v>109</v>
      </c>
      <c r="R18" s="6" t="s">
        <v>28</v>
      </c>
      <c r="S18" s="6" t="s">
        <v>44</v>
      </c>
      <c r="T18" s="14">
        <v>2.9499999999999998E-2</v>
      </c>
      <c r="U18">
        <v>2.95</v>
      </c>
      <c r="V18" t="str">
        <f>IF(fin_table[[#This Row],[Interest Rate(%)]]&gt;4,"high","low")</f>
        <v>low</v>
      </c>
      <c r="W18" s="5">
        <v>26681.654999999999</v>
      </c>
      <c r="X18" s="5">
        <f>fin_table[[#This Row],[Interest Rate]]*fin_table[[#This Row],[Loan Amount]]</f>
        <v>787.10882249999997</v>
      </c>
      <c r="Y18">
        <v>13</v>
      </c>
      <c r="Z18" s="3">
        <v>824</v>
      </c>
      <c r="AA18" s="3" t="str">
        <f t="shared" si="4"/>
        <v>Excellent</v>
      </c>
      <c r="AB18" s="3" cm="1">
        <f t="array" ref="AB18">_xlfn.IFS(fin_table[[#This Row],[Transaction Status]]="Failed", 1, fin_table[[#This Row],[Transaction Status]]="Completed",0,fin_table[[#This Row],[Transaction Status]]="Pending",2)</f>
        <v>0</v>
      </c>
      <c r="AC18" s="3" t="str">
        <f>IF(fin_table[[#This Row],[Loan Defaulters]]=1,"Default", "Good")</f>
        <v>Good</v>
      </c>
      <c r="AD18" s="3">
        <f t="shared" si="5"/>
        <v>5</v>
      </c>
      <c r="AE18" s="4">
        <v>9051.7999999999993</v>
      </c>
      <c r="AF18" s="4" t="str">
        <f>IF(fin_table[[#This Row],[Monthly Income]]&lt;3000, "Low Income", IF(fin_table[[#This Row],[Monthly Income]]&lt;=5000, "Middle Income", "High Income"))</f>
        <v>High Income</v>
      </c>
      <c r="AG18" t="s">
        <v>30</v>
      </c>
      <c r="AH18" t="s">
        <v>3635</v>
      </c>
      <c r="AI18" t="str">
        <f t="shared" si="6"/>
        <v>Low-Risk</v>
      </c>
    </row>
    <row r="19" spans="1:35" x14ac:dyDescent="0.35">
      <c r="A19" t="s">
        <v>110</v>
      </c>
      <c r="B19" t="s">
        <v>111</v>
      </c>
      <c r="C19" t="s">
        <v>112</v>
      </c>
      <c r="D19" s="1">
        <v>44597</v>
      </c>
      <c r="E19" s="1" t="str">
        <f t="shared" si="0"/>
        <v>05</v>
      </c>
      <c r="F19" s="1" t="str">
        <f t="shared" si="1"/>
        <v>Feb</v>
      </c>
      <c r="G19" s="6" t="s">
        <v>71</v>
      </c>
      <c r="H19" s="5">
        <v>3297.81</v>
      </c>
      <c r="I19" s="5" t="str">
        <f>IF(fin_table[[#This Row],[Account Balance]]&lt;20000,"Active", "Not Active")</f>
        <v>Not Active</v>
      </c>
      <c r="J19" s="5">
        <v>30145.360000000001</v>
      </c>
      <c r="K19" s="5" t="str">
        <f t="shared" si="2"/>
        <v>Medium</v>
      </c>
      <c r="L19" s="6" t="s">
        <v>24</v>
      </c>
      <c r="M19">
        <v>49</v>
      </c>
      <c r="N19" s="6" t="str">
        <f t="shared" si="3"/>
        <v>Older Adults</v>
      </c>
      <c r="O19" s="6" t="s">
        <v>25</v>
      </c>
      <c r="P19" s="6" t="s">
        <v>50</v>
      </c>
      <c r="Q19" t="s">
        <v>113</v>
      </c>
      <c r="R19" s="6" t="s">
        <v>52</v>
      </c>
      <c r="S19" s="6" t="s">
        <v>29</v>
      </c>
      <c r="T19" s="14">
        <v>1.6199999999999999E-2</v>
      </c>
      <c r="U19">
        <v>1.62</v>
      </c>
      <c r="V19" t="str">
        <f>IF(fin_table[[#This Row],[Interest Rate(%)]]&gt;4,"high","low")</f>
        <v>low</v>
      </c>
      <c r="W19" s="5">
        <v>33499.050000000003</v>
      </c>
      <c r="X19" s="5">
        <f>fin_table[[#This Row],[Interest Rate]]*fin_table[[#This Row],[Loan Amount]]</f>
        <v>542.68461000000002</v>
      </c>
      <c r="Y19">
        <v>13</v>
      </c>
      <c r="Z19" s="3">
        <v>571</v>
      </c>
      <c r="AA19" s="3" t="str">
        <f t="shared" si="4"/>
        <v>Poor</v>
      </c>
      <c r="AB19" s="3" cm="1">
        <f t="array" ref="AB19">_xlfn.IFS(fin_table[[#This Row],[Transaction Status]]="Failed", 1, fin_table[[#This Row],[Transaction Status]]="Completed",0,fin_table[[#This Row],[Transaction Status]]="Pending",2)</f>
        <v>1</v>
      </c>
      <c r="AC19" s="3" t="str">
        <f>IF(fin_table[[#This Row],[Loan Defaulters]]=1,"Default", "Good")</f>
        <v>Default</v>
      </c>
      <c r="AD19" s="3">
        <f t="shared" si="5"/>
        <v>1</v>
      </c>
      <c r="AE19" s="4">
        <v>14464.41</v>
      </c>
      <c r="AF19" s="4" t="str">
        <f>IF(fin_table[[#This Row],[Monthly Income]]&lt;3000, "Low Income", IF(fin_table[[#This Row],[Monthly Income]]&lt;=5000, "Middle Income", "High Income"))</f>
        <v>High Income</v>
      </c>
      <c r="AG19" t="s">
        <v>63</v>
      </c>
      <c r="AH19" t="s">
        <v>3636</v>
      </c>
      <c r="AI19" t="str">
        <f t="shared" si="6"/>
        <v>High-Risk</v>
      </c>
    </row>
    <row r="20" spans="1:35" x14ac:dyDescent="0.35">
      <c r="A20" t="s">
        <v>114</v>
      </c>
      <c r="B20" t="s">
        <v>115</v>
      </c>
      <c r="C20" t="s">
        <v>116</v>
      </c>
      <c r="D20" s="1">
        <v>44999</v>
      </c>
      <c r="E20" s="1" t="str">
        <f t="shared" si="0"/>
        <v>14</v>
      </c>
      <c r="F20" s="1" t="str">
        <f t="shared" si="1"/>
        <v>Mar</v>
      </c>
      <c r="G20" s="6" t="s">
        <v>56</v>
      </c>
      <c r="H20" s="5">
        <v>9971.07</v>
      </c>
      <c r="I20" s="5" t="str">
        <f>IF(fin_table[[#This Row],[Account Balance]]&lt;20000,"Active", "Not Active")</f>
        <v>Active</v>
      </c>
      <c r="J20" s="5">
        <v>19237.82</v>
      </c>
      <c r="K20" s="5" t="str">
        <f t="shared" si="2"/>
        <v>Medium</v>
      </c>
      <c r="L20" s="6" t="s">
        <v>24</v>
      </c>
      <c r="M20">
        <v>20</v>
      </c>
      <c r="N20" s="6" t="str">
        <f t="shared" si="3"/>
        <v>Young Adults</v>
      </c>
      <c r="O20" s="6" t="s">
        <v>42</v>
      </c>
      <c r="P20" s="6" t="s">
        <v>36</v>
      </c>
      <c r="Q20" t="s">
        <v>117</v>
      </c>
      <c r="R20" s="6" t="s">
        <v>28</v>
      </c>
      <c r="S20" s="6" t="s">
        <v>29</v>
      </c>
      <c r="T20" s="14">
        <v>2.4799999999999999E-2</v>
      </c>
      <c r="U20">
        <v>2.48</v>
      </c>
      <c r="V20" t="str">
        <f>IF(fin_table[[#This Row],[Interest Rate(%)]]&gt;4,"high","low")</f>
        <v>low</v>
      </c>
      <c r="W20" s="5">
        <v>26681.654999999999</v>
      </c>
      <c r="X20" s="5">
        <f>fin_table[[#This Row],[Interest Rate]]*fin_table[[#This Row],[Loan Amount]]</f>
        <v>661.70504399999993</v>
      </c>
      <c r="Y20">
        <v>13</v>
      </c>
      <c r="Z20" s="3">
        <v>432</v>
      </c>
      <c r="AA20" s="3" t="str">
        <f t="shared" si="4"/>
        <v>Poor</v>
      </c>
      <c r="AB20" s="3" cm="1">
        <f t="array" ref="AB20">_xlfn.IFS(fin_table[[#This Row],[Transaction Status]]="Failed", 1, fin_table[[#This Row],[Transaction Status]]="Completed",0,fin_table[[#This Row],[Transaction Status]]="Pending",2)</f>
        <v>1</v>
      </c>
      <c r="AC20" s="3" t="str">
        <f>IF(fin_table[[#This Row],[Loan Defaulters]]=1,"Default", "Good")</f>
        <v>Default</v>
      </c>
      <c r="AD20" s="3">
        <f t="shared" si="5"/>
        <v>1</v>
      </c>
      <c r="AE20" s="4">
        <v>4678.2299999999996</v>
      </c>
      <c r="AF20" s="4" t="str">
        <f>IF(fin_table[[#This Row],[Monthly Income]]&lt;3000, "Low Income", IF(fin_table[[#This Row],[Monthly Income]]&lt;=5000, "Middle Income", "High Income"))</f>
        <v>Middle Income</v>
      </c>
      <c r="AG20" t="s">
        <v>30</v>
      </c>
      <c r="AH20" t="s">
        <v>3635</v>
      </c>
      <c r="AI20" t="str">
        <f t="shared" si="6"/>
        <v>Low-Risk</v>
      </c>
    </row>
    <row r="21" spans="1:35" x14ac:dyDescent="0.35">
      <c r="A21" t="s">
        <v>118</v>
      </c>
      <c r="B21" t="s">
        <v>119</v>
      </c>
      <c r="C21" t="s">
        <v>120</v>
      </c>
      <c r="D21" s="1">
        <v>44735</v>
      </c>
      <c r="E21" s="1" t="str">
        <f t="shared" si="0"/>
        <v>23</v>
      </c>
      <c r="F21" s="1" t="str">
        <f t="shared" si="1"/>
        <v>Jun</v>
      </c>
      <c r="G21" s="6" t="s">
        <v>34</v>
      </c>
      <c r="H21" s="5">
        <v>9799.85</v>
      </c>
      <c r="I21" s="5" t="str">
        <f>IF(fin_table[[#This Row],[Account Balance]]&lt;20000,"Active", "Not Active")</f>
        <v>Active</v>
      </c>
      <c r="J21" s="5">
        <v>17318.71</v>
      </c>
      <c r="K21" s="5" t="str">
        <f t="shared" si="2"/>
        <v>Medium</v>
      </c>
      <c r="L21" s="6" t="s">
        <v>49</v>
      </c>
      <c r="M21">
        <v>19</v>
      </c>
      <c r="N21" s="6" t="str">
        <f t="shared" si="3"/>
        <v>Young Adults</v>
      </c>
      <c r="O21" s="6" t="s">
        <v>42</v>
      </c>
      <c r="P21" s="6" t="s">
        <v>50</v>
      </c>
      <c r="Q21" t="s">
        <v>121</v>
      </c>
      <c r="R21" s="6" t="s">
        <v>52</v>
      </c>
      <c r="S21" s="6" t="s">
        <v>29</v>
      </c>
      <c r="T21" s="14">
        <v>2.3199999999999998E-2</v>
      </c>
      <c r="U21">
        <v>2.3199999999999998</v>
      </c>
      <c r="V21" t="str">
        <f>IF(fin_table[[#This Row],[Interest Rate(%)]]&gt;4,"high","low")</f>
        <v>low</v>
      </c>
      <c r="W21" s="5">
        <v>30022.36</v>
      </c>
      <c r="X21" s="5">
        <f>fin_table[[#This Row],[Interest Rate]]*fin_table[[#This Row],[Loan Amount]]</f>
        <v>696.51875199999995</v>
      </c>
      <c r="Y21">
        <v>13</v>
      </c>
      <c r="Z21" s="3">
        <v>543</v>
      </c>
      <c r="AA21" s="3" t="str">
        <f t="shared" si="4"/>
        <v>Poor</v>
      </c>
      <c r="AB21" s="3" cm="1">
        <f t="array" ref="AB21">_xlfn.IFS(fin_table[[#This Row],[Transaction Status]]="Failed", 1, fin_table[[#This Row],[Transaction Status]]="Completed",0,fin_table[[#This Row],[Transaction Status]]="Pending",2)</f>
        <v>1</v>
      </c>
      <c r="AC21" s="3" t="str">
        <f>IF(fin_table[[#This Row],[Loan Defaulters]]=1,"Default", "Good")</f>
        <v>Default</v>
      </c>
      <c r="AD21" s="3">
        <f t="shared" si="5"/>
        <v>1</v>
      </c>
      <c r="AE21" s="4">
        <v>10512.81</v>
      </c>
      <c r="AF21" s="4" t="str">
        <f>IF(fin_table[[#This Row],[Monthly Income]]&lt;3000, "Low Income", IF(fin_table[[#This Row],[Monthly Income]]&lt;=5000, "Middle Income", "High Income"))</f>
        <v>High Income</v>
      </c>
      <c r="AG21" t="s">
        <v>45</v>
      </c>
      <c r="AH21" t="s">
        <v>3636</v>
      </c>
      <c r="AI21" t="str">
        <f t="shared" si="6"/>
        <v>Low-Risk</v>
      </c>
    </row>
    <row r="22" spans="1:35" x14ac:dyDescent="0.35">
      <c r="A22" t="s">
        <v>122</v>
      </c>
      <c r="B22" t="s">
        <v>123</v>
      </c>
      <c r="C22" t="s">
        <v>124</v>
      </c>
      <c r="D22" s="1">
        <v>44880</v>
      </c>
      <c r="E22" s="1" t="str">
        <f t="shared" si="0"/>
        <v>15</v>
      </c>
      <c r="F22" s="1" t="str">
        <f t="shared" si="1"/>
        <v>Nov</v>
      </c>
      <c r="G22" s="6" t="s">
        <v>56</v>
      </c>
      <c r="H22" s="5">
        <v>6595.73</v>
      </c>
      <c r="I22" s="5" t="str">
        <f>IF(fin_table[[#This Row],[Account Balance]]&lt;20000,"Active", "Not Active")</f>
        <v>Not Active</v>
      </c>
      <c r="J22" s="5">
        <v>44363.25</v>
      </c>
      <c r="K22" s="5" t="str">
        <f t="shared" si="2"/>
        <v>Medium</v>
      </c>
      <c r="L22" s="6" t="s">
        <v>125</v>
      </c>
      <c r="M22">
        <v>50</v>
      </c>
      <c r="N22" s="6" t="str">
        <f t="shared" si="3"/>
        <v>Older Adults</v>
      </c>
      <c r="O22" s="6" t="s">
        <v>25</v>
      </c>
      <c r="P22" s="6" t="s">
        <v>36</v>
      </c>
      <c r="Q22" t="s">
        <v>126</v>
      </c>
      <c r="R22" s="6" t="s">
        <v>52</v>
      </c>
      <c r="S22" s="6" t="s">
        <v>44</v>
      </c>
      <c r="T22" s="14">
        <v>2.69E-2</v>
      </c>
      <c r="U22">
        <v>2.69</v>
      </c>
      <c r="V22" t="str">
        <f>IF(fin_table[[#This Row],[Interest Rate(%)]]&gt;4,"high","low")</f>
        <v>low</v>
      </c>
      <c r="W22" s="5">
        <v>26681.654999999999</v>
      </c>
      <c r="X22" s="5">
        <f>fin_table[[#This Row],[Interest Rate]]*fin_table[[#This Row],[Loan Amount]]</f>
        <v>717.73651949999999</v>
      </c>
      <c r="Y22">
        <v>13</v>
      </c>
      <c r="Z22" s="3">
        <v>733</v>
      </c>
      <c r="AA22" s="3" t="str">
        <f t="shared" si="4"/>
        <v>Good</v>
      </c>
      <c r="AB22" s="3" cm="1">
        <f t="array" ref="AB22">_xlfn.IFS(fin_table[[#This Row],[Transaction Status]]="Failed", 1, fin_table[[#This Row],[Transaction Status]]="Completed",0,fin_table[[#This Row],[Transaction Status]]="Pending",2)</f>
        <v>0</v>
      </c>
      <c r="AC22" s="3" t="str">
        <f>IF(fin_table[[#This Row],[Loan Defaulters]]=1,"Default", "Good")</f>
        <v>Good</v>
      </c>
      <c r="AD22" s="3">
        <f t="shared" si="5"/>
        <v>3</v>
      </c>
      <c r="AE22" s="4">
        <v>2564.16</v>
      </c>
      <c r="AF22" s="4" t="str">
        <f>IF(fin_table[[#This Row],[Monthly Income]]&lt;3000, "Low Income", IF(fin_table[[#This Row],[Monthly Income]]&lt;=5000, "Middle Income", "High Income"))</f>
        <v>Low Income</v>
      </c>
      <c r="AG22" t="s">
        <v>63</v>
      </c>
      <c r="AH22" t="s">
        <v>3635</v>
      </c>
      <c r="AI22" t="str">
        <f t="shared" si="6"/>
        <v>Low-Risk</v>
      </c>
    </row>
    <row r="23" spans="1:35" x14ac:dyDescent="0.35">
      <c r="A23" t="s">
        <v>127</v>
      </c>
      <c r="B23" t="s">
        <v>128</v>
      </c>
      <c r="C23" t="s">
        <v>129</v>
      </c>
      <c r="D23" s="1">
        <v>44648</v>
      </c>
      <c r="E23" s="1" t="str">
        <f t="shared" si="0"/>
        <v>28</v>
      </c>
      <c r="F23" s="1" t="str">
        <f t="shared" si="1"/>
        <v>Mar</v>
      </c>
      <c r="G23" s="6" t="s">
        <v>34</v>
      </c>
      <c r="H23" s="5">
        <v>1385.28</v>
      </c>
      <c r="I23" s="5" t="str">
        <f>IF(fin_table[[#This Row],[Account Balance]]&lt;20000,"Active", "Not Active")</f>
        <v>Active</v>
      </c>
      <c r="J23" s="5">
        <v>19780.93</v>
      </c>
      <c r="K23" s="5" t="str">
        <f t="shared" si="2"/>
        <v>Medium</v>
      </c>
      <c r="L23" s="6" t="s">
        <v>35</v>
      </c>
      <c r="M23">
        <v>59</v>
      </c>
      <c r="N23" s="6" t="str">
        <f t="shared" si="3"/>
        <v>Older Adults</v>
      </c>
      <c r="O23" s="6" t="s">
        <v>42</v>
      </c>
      <c r="P23" s="6" t="s">
        <v>50</v>
      </c>
      <c r="Q23" t="s">
        <v>130</v>
      </c>
      <c r="R23" s="6" t="s">
        <v>52</v>
      </c>
      <c r="S23" s="6" t="s">
        <v>44</v>
      </c>
      <c r="T23" s="14">
        <v>3.2899999999999999E-2</v>
      </c>
      <c r="U23">
        <v>3.29</v>
      </c>
      <c r="V23" t="str">
        <f>IF(fin_table[[#This Row],[Interest Rate(%)]]&gt;4,"high","low")</f>
        <v>low</v>
      </c>
      <c r="W23" s="5">
        <v>6090.81</v>
      </c>
      <c r="X23" s="5">
        <f>fin_table[[#This Row],[Interest Rate]]*fin_table[[#This Row],[Loan Amount]]</f>
        <v>200.38764900000001</v>
      </c>
      <c r="Y23">
        <v>13</v>
      </c>
      <c r="Z23" s="3">
        <v>337</v>
      </c>
      <c r="AA23" s="3" t="str">
        <f t="shared" si="4"/>
        <v>Poor</v>
      </c>
      <c r="AB23" s="3" cm="1">
        <f t="array" ref="AB23">_xlfn.IFS(fin_table[[#This Row],[Transaction Status]]="Failed", 1, fin_table[[#This Row],[Transaction Status]]="Completed",0,fin_table[[#This Row],[Transaction Status]]="Pending",2)</f>
        <v>0</v>
      </c>
      <c r="AC23" s="3" t="str">
        <f>IF(fin_table[[#This Row],[Loan Defaulters]]=1,"Default", "Good")</f>
        <v>Good</v>
      </c>
      <c r="AD23" s="3">
        <f t="shared" si="5"/>
        <v>1</v>
      </c>
      <c r="AE23" s="4">
        <v>2863.41</v>
      </c>
      <c r="AF23" s="4" t="str">
        <f>IF(fin_table[[#This Row],[Monthly Income]]&lt;3000, "Low Income", IF(fin_table[[#This Row],[Monthly Income]]&lt;=5000, "Middle Income", "High Income"))</f>
        <v>Low Income</v>
      </c>
      <c r="AG23" t="s">
        <v>30</v>
      </c>
      <c r="AH23" t="s">
        <v>3636</v>
      </c>
      <c r="AI23" t="str">
        <f t="shared" si="6"/>
        <v>Low-Risk</v>
      </c>
    </row>
    <row r="24" spans="1:35" x14ac:dyDescent="0.35">
      <c r="A24" t="s">
        <v>131</v>
      </c>
      <c r="B24" t="s">
        <v>132</v>
      </c>
      <c r="C24" t="s">
        <v>133</v>
      </c>
      <c r="D24" s="1">
        <v>44933</v>
      </c>
      <c r="E24" s="1" t="str">
        <f t="shared" si="0"/>
        <v>07</v>
      </c>
      <c r="F24" s="1" t="str">
        <f t="shared" si="1"/>
        <v>Jan</v>
      </c>
      <c r="G24" s="6" t="s">
        <v>23</v>
      </c>
      <c r="H24" s="5">
        <v>6899.92</v>
      </c>
      <c r="I24" s="5" t="str">
        <f>IF(fin_table[[#This Row],[Account Balance]]&lt;20000,"Active", "Not Active")</f>
        <v>Not Active</v>
      </c>
      <c r="J24" s="5">
        <v>25181.55</v>
      </c>
      <c r="K24" s="5" t="str">
        <f t="shared" si="2"/>
        <v>Medium</v>
      </c>
      <c r="L24" s="6" t="s">
        <v>125</v>
      </c>
      <c r="M24">
        <v>36</v>
      </c>
      <c r="N24" s="6" t="str">
        <f t="shared" si="3"/>
        <v>Middle-Aged</v>
      </c>
      <c r="O24" s="6" t="s">
        <v>25</v>
      </c>
      <c r="P24" s="6" t="s">
        <v>26</v>
      </c>
      <c r="Q24" t="s">
        <v>134</v>
      </c>
      <c r="R24" s="6" t="s">
        <v>52</v>
      </c>
      <c r="S24" s="6" t="s">
        <v>44</v>
      </c>
      <c r="T24" s="14">
        <v>4.6100000000000002E-2</v>
      </c>
      <c r="U24">
        <v>4.6100000000000003</v>
      </c>
      <c r="V24" t="str">
        <f>IF(fin_table[[#This Row],[Interest Rate(%)]]&gt;4,"high","low")</f>
        <v>high</v>
      </c>
      <c r="W24" s="5">
        <v>26681.654999999999</v>
      </c>
      <c r="X24" s="5">
        <f>fin_table[[#This Row],[Interest Rate]]*fin_table[[#This Row],[Loan Amount]]</f>
        <v>1230.0242955000001</v>
      </c>
      <c r="Y24">
        <v>27</v>
      </c>
      <c r="Z24" s="3">
        <v>618</v>
      </c>
      <c r="AA24" s="3" t="str">
        <f t="shared" si="4"/>
        <v>Fair</v>
      </c>
      <c r="AB24" s="3" cm="1">
        <f t="array" ref="AB24">_xlfn.IFS(fin_table[[#This Row],[Transaction Status]]="Failed", 1, fin_table[[#This Row],[Transaction Status]]="Completed",0,fin_table[[#This Row],[Transaction Status]]="Pending",2)</f>
        <v>0</v>
      </c>
      <c r="AC24" s="3" t="str">
        <f>IF(fin_table[[#This Row],[Loan Defaulters]]=1,"Default", "Good")</f>
        <v>Good</v>
      </c>
      <c r="AD24" s="3">
        <f t="shared" si="5"/>
        <v>2</v>
      </c>
      <c r="AE24" s="4">
        <v>9173.77</v>
      </c>
      <c r="AF24" s="4" t="str">
        <f>IF(fin_table[[#This Row],[Monthly Income]]&lt;3000, "Low Income", IF(fin_table[[#This Row],[Monthly Income]]&lt;=5000, "Middle Income", "High Income"))</f>
        <v>High Income</v>
      </c>
      <c r="AG24" t="s">
        <v>30</v>
      </c>
      <c r="AH24" t="s">
        <v>3635</v>
      </c>
      <c r="AI24" t="str">
        <f t="shared" si="6"/>
        <v>Low-Risk</v>
      </c>
    </row>
    <row r="25" spans="1:35" x14ac:dyDescent="0.35">
      <c r="A25" t="s">
        <v>135</v>
      </c>
      <c r="B25" t="s">
        <v>136</v>
      </c>
      <c r="C25" t="s">
        <v>137</v>
      </c>
      <c r="D25" s="1">
        <v>44779</v>
      </c>
      <c r="E25" s="1" t="str">
        <f t="shared" si="0"/>
        <v>06</v>
      </c>
      <c r="F25" s="1" t="str">
        <f t="shared" si="1"/>
        <v>Aug</v>
      </c>
      <c r="G25" s="6" t="s">
        <v>23</v>
      </c>
      <c r="H25" s="5">
        <v>1021</v>
      </c>
      <c r="I25" s="5" t="str">
        <f>IF(fin_table[[#This Row],[Account Balance]]&lt;20000,"Active", "Not Active")</f>
        <v>Active</v>
      </c>
      <c r="J25" s="5">
        <v>14881.93</v>
      </c>
      <c r="K25" s="5" t="str">
        <f t="shared" si="2"/>
        <v>Medium</v>
      </c>
      <c r="L25" s="6" t="s">
        <v>125</v>
      </c>
      <c r="M25">
        <v>34</v>
      </c>
      <c r="N25" s="6" t="str">
        <f t="shared" si="3"/>
        <v>Adults</v>
      </c>
      <c r="O25" s="6" t="s">
        <v>25</v>
      </c>
      <c r="P25" s="6" t="s">
        <v>26</v>
      </c>
      <c r="Q25" t="s">
        <v>138</v>
      </c>
      <c r="R25" s="6" t="s">
        <v>38</v>
      </c>
      <c r="S25" s="6" t="s">
        <v>62</v>
      </c>
      <c r="T25" s="14">
        <v>2.58E-2</v>
      </c>
      <c r="U25">
        <v>2.58</v>
      </c>
      <c r="V25" t="str">
        <f>IF(fin_table[[#This Row],[Interest Rate(%)]]&gt;4,"high","low")</f>
        <v>low</v>
      </c>
      <c r="W25" s="5">
        <v>26681.654999999999</v>
      </c>
      <c r="X25" s="5">
        <f>fin_table[[#This Row],[Interest Rate]]*fin_table[[#This Row],[Loan Amount]]</f>
        <v>688.38669900000002</v>
      </c>
      <c r="Y25">
        <v>13</v>
      </c>
      <c r="Z25" s="3">
        <v>809</v>
      </c>
      <c r="AA25" s="3" t="str">
        <f t="shared" si="4"/>
        <v>Excellent</v>
      </c>
      <c r="AB25" s="3" cm="1">
        <f t="array" ref="AB25">_xlfn.IFS(fin_table[[#This Row],[Transaction Status]]="Failed", 1, fin_table[[#This Row],[Transaction Status]]="Completed",0,fin_table[[#This Row],[Transaction Status]]="Pending",2)</f>
        <v>2</v>
      </c>
      <c r="AC25" s="3" t="str">
        <f>IF(fin_table[[#This Row],[Loan Defaulters]]=1,"Default", "Good")</f>
        <v>Good</v>
      </c>
      <c r="AD25" s="3">
        <f t="shared" si="5"/>
        <v>5</v>
      </c>
      <c r="AE25" s="4">
        <v>3364.21</v>
      </c>
      <c r="AF25" s="4" t="str">
        <f>IF(fin_table[[#This Row],[Monthly Income]]&lt;3000, "Low Income", IF(fin_table[[#This Row],[Monthly Income]]&lt;=5000, "Middle Income", "High Income"))</f>
        <v>Middle Income</v>
      </c>
      <c r="AG25" t="s">
        <v>63</v>
      </c>
      <c r="AH25" t="s">
        <v>3635</v>
      </c>
      <c r="AI25" t="str">
        <f t="shared" si="6"/>
        <v>Low-Risk</v>
      </c>
    </row>
    <row r="26" spans="1:35" x14ac:dyDescent="0.35">
      <c r="A26" t="s">
        <v>139</v>
      </c>
      <c r="B26" t="s">
        <v>140</v>
      </c>
      <c r="C26" t="s">
        <v>141</v>
      </c>
      <c r="D26" s="1">
        <v>44666</v>
      </c>
      <c r="E26" s="1" t="str">
        <f t="shared" si="0"/>
        <v>15</v>
      </c>
      <c r="F26" s="1" t="str">
        <f t="shared" si="1"/>
        <v>Apr</v>
      </c>
      <c r="G26" s="6" t="s">
        <v>34</v>
      </c>
      <c r="H26" s="5">
        <v>390.71</v>
      </c>
      <c r="I26" s="5" t="str">
        <f>IF(fin_table[[#This Row],[Account Balance]]&lt;20000,"Active", "Not Active")</f>
        <v>Not Active</v>
      </c>
      <c r="J26" s="5">
        <v>39551.71</v>
      </c>
      <c r="K26" s="5" t="str">
        <f t="shared" si="2"/>
        <v>Medium</v>
      </c>
      <c r="L26" s="6" t="s">
        <v>35</v>
      </c>
      <c r="M26">
        <v>61</v>
      </c>
      <c r="N26" s="6" t="str">
        <f t="shared" si="3"/>
        <v>Seniors</v>
      </c>
      <c r="O26" s="6" t="s">
        <v>25</v>
      </c>
      <c r="P26" s="6" t="s">
        <v>50</v>
      </c>
      <c r="Q26" t="s">
        <v>142</v>
      </c>
      <c r="R26" s="6" t="s">
        <v>52</v>
      </c>
      <c r="S26" s="6" t="s">
        <v>29</v>
      </c>
      <c r="T26" s="14">
        <v>4.9200000000000001E-2</v>
      </c>
      <c r="U26">
        <v>4.92</v>
      </c>
      <c r="V26" t="str">
        <f>IF(fin_table[[#This Row],[Interest Rate(%)]]&gt;4,"high","low")</f>
        <v>high</v>
      </c>
      <c r="W26" s="5">
        <v>35102.92</v>
      </c>
      <c r="X26" s="5">
        <f>fin_table[[#This Row],[Interest Rate]]*fin_table[[#This Row],[Loan Amount]]</f>
        <v>1727.063664</v>
      </c>
      <c r="Y26">
        <v>4</v>
      </c>
      <c r="Z26" s="3">
        <v>675</v>
      </c>
      <c r="AA26" s="3" t="str">
        <f t="shared" si="4"/>
        <v>Good</v>
      </c>
      <c r="AB26" s="3" cm="1">
        <f t="array" ref="AB26">_xlfn.IFS(fin_table[[#This Row],[Transaction Status]]="Failed", 1, fin_table[[#This Row],[Transaction Status]]="Completed",0,fin_table[[#This Row],[Transaction Status]]="Pending",2)</f>
        <v>1</v>
      </c>
      <c r="AC26" s="3" t="str">
        <f>IF(fin_table[[#This Row],[Loan Defaulters]]=1,"Default", "Good")</f>
        <v>Default</v>
      </c>
      <c r="AD26" s="3">
        <f t="shared" si="5"/>
        <v>3</v>
      </c>
      <c r="AE26" s="4">
        <v>2290.5100000000002</v>
      </c>
      <c r="AF26" s="4" t="str">
        <f>IF(fin_table[[#This Row],[Monthly Income]]&lt;3000, "Low Income", IF(fin_table[[#This Row],[Monthly Income]]&lt;=5000, "Middle Income", "High Income"))</f>
        <v>Low Income</v>
      </c>
      <c r="AG26" t="s">
        <v>45</v>
      </c>
      <c r="AH26" t="s">
        <v>3636</v>
      </c>
      <c r="AI26" t="str">
        <f t="shared" si="6"/>
        <v>Low-Risk</v>
      </c>
    </row>
    <row r="27" spans="1:35" x14ac:dyDescent="0.35">
      <c r="A27" t="s">
        <v>143</v>
      </c>
      <c r="B27" t="s">
        <v>144</v>
      </c>
      <c r="C27" t="s">
        <v>145</v>
      </c>
      <c r="D27" s="1">
        <v>44606</v>
      </c>
      <c r="E27" s="1" t="str">
        <f t="shared" si="0"/>
        <v>14</v>
      </c>
      <c r="F27" s="1" t="str">
        <f t="shared" si="1"/>
        <v>Feb</v>
      </c>
      <c r="G27" s="6" t="s">
        <v>23</v>
      </c>
      <c r="H27" s="5">
        <v>8247.2900000000009</v>
      </c>
      <c r="I27" s="5" t="str">
        <f>IF(fin_table[[#This Row],[Account Balance]]&lt;20000,"Active", "Not Active")</f>
        <v>Not Active</v>
      </c>
      <c r="J27" s="5">
        <v>20474.96</v>
      </c>
      <c r="K27" s="5" t="str">
        <f t="shared" si="2"/>
        <v>Medium</v>
      </c>
      <c r="L27" s="6" t="s">
        <v>24</v>
      </c>
      <c r="M27">
        <v>50</v>
      </c>
      <c r="N27" s="6" t="str">
        <f t="shared" si="3"/>
        <v>Older Adults</v>
      </c>
      <c r="O27" s="6" t="s">
        <v>42</v>
      </c>
      <c r="P27" s="6" t="s">
        <v>26</v>
      </c>
      <c r="Q27" t="s">
        <v>146</v>
      </c>
      <c r="R27" s="6" t="s">
        <v>28</v>
      </c>
      <c r="S27" s="6" t="s">
        <v>29</v>
      </c>
      <c r="T27" s="14">
        <v>4.0399999999999998E-2</v>
      </c>
      <c r="U27">
        <v>4.04</v>
      </c>
      <c r="V27" t="str">
        <f>IF(fin_table[[#This Row],[Interest Rate(%)]]&gt;4,"high","low")</f>
        <v>high</v>
      </c>
      <c r="W27" s="5">
        <v>38615.379999999997</v>
      </c>
      <c r="X27" s="5">
        <f>fin_table[[#This Row],[Interest Rate]]*fin_table[[#This Row],[Loan Amount]]</f>
        <v>1560.0613519999999</v>
      </c>
      <c r="Y27">
        <v>13</v>
      </c>
      <c r="Z27" s="3">
        <v>773</v>
      </c>
      <c r="AA27" s="3" t="str">
        <f t="shared" si="4"/>
        <v>Very Good</v>
      </c>
      <c r="AB27" s="3" cm="1">
        <f t="array" ref="AB27">_xlfn.IFS(fin_table[[#This Row],[Transaction Status]]="Failed", 1, fin_table[[#This Row],[Transaction Status]]="Completed",0,fin_table[[#This Row],[Transaction Status]]="Pending",2)</f>
        <v>1</v>
      </c>
      <c r="AC27" s="3" t="str">
        <f>IF(fin_table[[#This Row],[Loan Defaulters]]=1,"Default", "Good")</f>
        <v>Default</v>
      </c>
      <c r="AD27" s="3">
        <f t="shared" si="5"/>
        <v>4</v>
      </c>
      <c r="AE27" s="4">
        <v>4229.67</v>
      </c>
      <c r="AF27" s="4" t="str">
        <f>IF(fin_table[[#This Row],[Monthly Income]]&lt;3000, "Low Income", IF(fin_table[[#This Row],[Monthly Income]]&lt;=5000, "Middle Income", "High Income"))</f>
        <v>Middle Income</v>
      </c>
      <c r="AG27" t="s">
        <v>63</v>
      </c>
      <c r="AH27" t="s">
        <v>3636</v>
      </c>
      <c r="AI27" t="str">
        <f t="shared" si="6"/>
        <v>Low-Risk</v>
      </c>
    </row>
    <row r="28" spans="1:35" x14ac:dyDescent="0.35">
      <c r="A28" t="s">
        <v>147</v>
      </c>
      <c r="B28" t="s">
        <v>148</v>
      </c>
      <c r="C28" t="s">
        <v>149</v>
      </c>
      <c r="D28" s="1">
        <v>44837</v>
      </c>
      <c r="E28" s="1" t="str">
        <f t="shared" si="0"/>
        <v>03</v>
      </c>
      <c r="F28" s="1" t="str">
        <f t="shared" si="1"/>
        <v>Oct</v>
      </c>
      <c r="G28" s="6" t="s">
        <v>34</v>
      </c>
      <c r="H28" s="5">
        <v>2176.5500000000002</v>
      </c>
      <c r="I28" s="5" t="str">
        <f>IF(fin_table[[#This Row],[Account Balance]]&lt;20000,"Active", "Not Active")</f>
        <v>Not Active</v>
      </c>
      <c r="J28" s="5">
        <v>26166.94</v>
      </c>
      <c r="K28" s="5" t="str">
        <f t="shared" si="2"/>
        <v>Medium</v>
      </c>
      <c r="L28" s="6" t="s">
        <v>35</v>
      </c>
      <c r="M28">
        <v>29</v>
      </c>
      <c r="N28" s="6" t="str">
        <f t="shared" si="3"/>
        <v>Adults</v>
      </c>
      <c r="O28" s="6" t="s">
        <v>25</v>
      </c>
      <c r="P28" s="6" t="s">
        <v>36</v>
      </c>
      <c r="Q28" t="s">
        <v>150</v>
      </c>
      <c r="R28" s="6" t="s">
        <v>52</v>
      </c>
      <c r="S28" s="6" t="s">
        <v>62</v>
      </c>
      <c r="T28" s="14">
        <v>3.0499999999999999E-2</v>
      </c>
      <c r="U28">
        <v>3.05</v>
      </c>
      <c r="V28" t="str">
        <f>IF(fin_table[[#This Row],[Interest Rate(%)]]&gt;4,"high","low")</f>
        <v>low</v>
      </c>
      <c r="W28" s="5">
        <v>46216.75</v>
      </c>
      <c r="X28" s="5">
        <f>fin_table[[#This Row],[Interest Rate]]*fin_table[[#This Row],[Loan Amount]]</f>
        <v>1409.6108750000001</v>
      </c>
      <c r="Y28">
        <v>9</v>
      </c>
      <c r="Z28" s="3">
        <v>358</v>
      </c>
      <c r="AA28" s="3" t="str">
        <f t="shared" si="4"/>
        <v>Poor</v>
      </c>
      <c r="AB28" s="3" cm="1">
        <f t="array" ref="AB28">_xlfn.IFS(fin_table[[#This Row],[Transaction Status]]="Failed", 1, fin_table[[#This Row],[Transaction Status]]="Completed",0,fin_table[[#This Row],[Transaction Status]]="Pending",2)</f>
        <v>2</v>
      </c>
      <c r="AC28" s="3" t="str">
        <f>IF(fin_table[[#This Row],[Loan Defaulters]]=1,"Default", "Good")</f>
        <v>Good</v>
      </c>
      <c r="AD28" s="3">
        <f t="shared" si="5"/>
        <v>1</v>
      </c>
      <c r="AE28" s="4">
        <v>9343.0400000000009</v>
      </c>
      <c r="AF28" s="4" t="str">
        <f>IF(fin_table[[#This Row],[Monthly Income]]&lt;3000, "Low Income", IF(fin_table[[#This Row],[Monthly Income]]&lt;=5000, "Middle Income", "High Income"))</f>
        <v>High Income</v>
      </c>
      <c r="AG28" t="s">
        <v>30</v>
      </c>
      <c r="AH28" t="s">
        <v>3636</v>
      </c>
      <c r="AI28" t="str">
        <f t="shared" si="6"/>
        <v>High-Risk</v>
      </c>
    </row>
    <row r="29" spans="1:35" x14ac:dyDescent="0.35">
      <c r="A29" t="s">
        <v>151</v>
      </c>
      <c r="B29" t="s">
        <v>152</v>
      </c>
      <c r="C29" t="s">
        <v>153</v>
      </c>
      <c r="D29" s="1">
        <v>45113</v>
      </c>
      <c r="E29" s="1" t="str">
        <f t="shared" si="0"/>
        <v>06</v>
      </c>
      <c r="F29" s="1" t="str">
        <f t="shared" si="1"/>
        <v>Jul</v>
      </c>
      <c r="G29" s="6" t="s">
        <v>23</v>
      </c>
      <c r="H29" s="5">
        <v>3852.37</v>
      </c>
      <c r="I29" s="5" t="str">
        <f>IF(fin_table[[#This Row],[Account Balance]]&lt;20000,"Active", "Not Active")</f>
        <v>Active</v>
      </c>
      <c r="J29" s="5">
        <v>13414.5</v>
      </c>
      <c r="K29" s="5" t="str">
        <f t="shared" si="2"/>
        <v>Medium</v>
      </c>
      <c r="L29" s="6" t="s">
        <v>125</v>
      </c>
      <c r="M29">
        <v>66</v>
      </c>
      <c r="N29" s="6" t="str">
        <f t="shared" si="3"/>
        <v>Seniors</v>
      </c>
      <c r="O29" s="6" t="s">
        <v>25</v>
      </c>
      <c r="P29" s="6" t="s">
        <v>50</v>
      </c>
      <c r="Q29" t="s">
        <v>154</v>
      </c>
      <c r="R29" s="6" t="s">
        <v>28</v>
      </c>
      <c r="S29" s="6" t="s">
        <v>62</v>
      </c>
      <c r="T29" s="14">
        <v>3.5799999999999998E-2</v>
      </c>
      <c r="U29">
        <v>3.58</v>
      </c>
      <c r="V29" t="str">
        <f>IF(fin_table[[#This Row],[Interest Rate(%)]]&gt;4,"high","low")</f>
        <v>low</v>
      </c>
      <c r="W29" s="5">
        <v>48115.53</v>
      </c>
      <c r="X29" s="5">
        <f>fin_table[[#This Row],[Interest Rate]]*fin_table[[#This Row],[Loan Amount]]</f>
        <v>1722.5359739999999</v>
      </c>
      <c r="Y29">
        <v>5</v>
      </c>
      <c r="Z29" s="3">
        <v>798</v>
      </c>
      <c r="AA29" s="3" t="str">
        <f t="shared" si="4"/>
        <v>Very Good</v>
      </c>
      <c r="AB29" s="3" cm="1">
        <f t="array" ref="AB29">_xlfn.IFS(fin_table[[#This Row],[Transaction Status]]="Failed", 1, fin_table[[#This Row],[Transaction Status]]="Completed",0,fin_table[[#This Row],[Transaction Status]]="Pending",2)</f>
        <v>2</v>
      </c>
      <c r="AC29" s="3" t="str">
        <f>IF(fin_table[[#This Row],[Loan Defaulters]]=1,"Default", "Good")</f>
        <v>Good</v>
      </c>
      <c r="AD29" s="3">
        <f t="shared" si="5"/>
        <v>4</v>
      </c>
      <c r="AE29" s="4">
        <v>11143.43</v>
      </c>
      <c r="AF29" s="4" t="str">
        <f>IF(fin_table[[#This Row],[Monthly Income]]&lt;3000, "Low Income", IF(fin_table[[#This Row],[Monthly Income]]&lt;=5000, "Middle Income", "High Income"))</f>
        <v>High Income</v>
      </c>
      <c r="AG29" t="s">
        <v>30</v>
      </c>
      <c r="AH29" t="s">
        <v>3636</v>
      </c>
      <c r="AI29" t="str">
        <f t="shared" si="6"/>
        <v>Low-Risk</v>
      </c>
    </row>
    <row r="30" spans="1:35" x14ac:dyDescent="0.35">
      <c r="A30" t="s">
        <v>155</v>
      </c>
      <c r="B30" t="s">
        <v>156</v>
      </c>
      <c r="C30" t="s">
        <v>157</v>
      </c>
      <c r="D30" s="1">
        <v>44591</v>
      </c>
      <c r="E30" s="1" t="str">
        <f t="shared" si="0"/>
        <v>30</v>
      </c>
      <c r="F30" s="1" t="str">
        <f t="shared" si="1"/>
        <v>Jan</v>
      </c>
      <c r="G30" s="6" t="s">
        <v>71</v>
      </c>
      <c r="H30" s="5">
        <v>9737.23</v>
      </c>
      <c r="I30" s="5" t="str">
        <f>IF(fin_table[[#This Row],[Account Balance]]&lt;20000,"Active", "Not Active")</f>
        <v>Not Active</v>
      </c>
      <c r="J30" s="5">
        <v>49395.32</v>
      </c>
      <c r="K30" s="5" t="str">
        <f t="shared" si="2"/>
        <v>Medium</v>
      </c>
      <c r="L30" s="6" t="s">
        <v>24</v>
      </c>
      <c r="M30">
        <v>20</v>
      </c>
      <c r="N30" s="6" t="str">
        <f t="shared" si="3"/>
        <v>Young Adults</v>
      </c>
      <c r="O30" s="6" t="s">
        <v>42</v>
      </c>
      <c r="P30" s="6" t="s">
        <v>36</v>
      </c>
      <c r="Q30" t="s">
        <v>158</v>
      </c>
      <c r="R30" s="6" t="s">
        <v>52</v>
      </c>
      <c r="S30" s="6" t="s">
        <v>44</v>
      </c>
      <c r="T30" s="14">
        <v>1.41E-2</v>
      </c>
      <c r="U30">
        <v>1.41</v>
      </c>
      <c r="V30" t="str">
        <f>IF(fin_table[[#This Row],[Interest Rate(%)]]&gt;4,"high","low")</f>
        <v>low</v>
      </c>
      <c r="W30" s="5">
        <v>5473.67</v>
      </c>
      <c r="X30" s="5">
        <f>fin_table[[#This Row],[Interest Rate]]*fin_table[[#This Row],[Loan Amount]]</f>
        <v>77.178747000000001</v>
      </c>
      <c r="Y30">
        <v>19</v>
      </c>
      <c r="Z30" s="3">
        <v>517</v>
      </c>
      <c r="AA30" s="3" t="str">
        <f t="shared" si="4"/>
        <v>Poor</v>
      </c>
      <c r="AB30" s="3" cm="1">
        <f t="array" ref="AB30">_xlfn.IFS(fin_table[[#This Row],[Transaction Status]]="Failed", 1, fin_table[[#This Row],[Transaction Status]]="Completed",0,fin_table[[#This Row],[Transaction Status]]="Pending",2)</f>
        <v>0</v>
      </c>
      <c r="AC30" s="3" t="str">
        <f>IF(fin_table[[#This Row],[Loan Defaulters]]=1,"Default", "Good")</f>
        <v>Good</v>
      </c>
      <c r="AD30" s="3">
        <f t="shared" si="5"/>
        <v>1</v>
      </c>
      <c r="AE30" s="4">
        <v>4632.22</v>
      </c>
      <c r="AF30" s="4" t="str">
        <f>IF(fin_table[[#This Row],[Monthly Income]]&lt;3000, "Low Income", IF(fin_table[[#This Row],[Monthly Income]]&lt;=5000, "Middle Income", "High Income"))</f>
        <v>Middle Income</v>
      </c>
      <c r="AG30" t="s">
        <v>63</v>
      </c>
      <c r="AH30" t="s">
        <v>3636</v>
      </c>
      <c r="AI30" t="str">
        <f t="shared" si="6"/>
        <v>Low-Risk</v>
      </c>
    </row>
    <row r="31" spans="1:35" x14ac:dyDescent="0.35">
      <c r="A31" t="s">
        <v>159</v>
      </c>
      <c r="B31" t="s">
        <v>160</v>
      </c>
      <c r="C31" t="s">
        <v>161</v>
      </c>
      <c r="D31" s="1">
        <v>44824</v>
      </c>
      <c r="E31" s="1" t="str">
        <f t="shared" si="0"/>
        <v>20</v>
      </c>
      <c r="F31" s="1" t="str">
        <f t="shared" si="1"/>
        <v>Sep</v>
      </c>
      <c r="G31" s="6" t="s">
        <v>71</v>
      </c>
      <c r="H31" s="5">
        <v>3434.72</v>
      </c>
      <c r="I31" s="5" t="str">
        <f>IF(fin_table[[#This Row],[Account Balance]]&lt;20000,"Active", "Not Active")</f>
        <v>Active</v>
      </c>
      <c r="J31" s="5">
        <v>15283.29</v>
      </c>
      <c r="K31" s="5" t="str">
        <f t="shared" si="2"/>
        <v>Medium</v>
      </c>
      <c r="L31" s="6" t="s">
        <v>100</v>
      </c>
      <c r="M31">
        <v>60</v>
      </c>
      <c r="N31" s="6" t="str">
        <f t="shared" si="3"/>
        <v>Older Adults</v>
      </c>
      <c r="O31" s="6" t="s">
        <v>42</v>
      </c>
      <c r="P31" s="6" t="s">
        <v>50</v>
      </c>
      <c r="Q31" t="s">
        <v>162</v>
      </c>
      <c r="R31" s="6" t="s">
        <v>38</v>
      </c>
      <c r="S31" s="6" t="s">
        <v>44</v>
      </c>
      <c r="T31" s="14">
        <v>4.3799999999999999E-2</v>
      </c>
      <c r="U31">
        <v>4.38</v>
      </c>
      <c r="V31" t="str">
        <f>IF(fin_table[[#This Row],[Interest Rate(%)]]&gt;4,"high","low")</f>
        <v>high</v>
      </c>
      <c r="W31" s="5">
        <v>26681.654999999999</v>
      </c>
      <c r="X31" s="5">
        <f>fin_table[[#This Row],[Interest Rate]]*fin_table[[#This Row],[Loan Amount]]</f>
        <v>1168.656489</v>
      </c>
      <c r="Y31">
        <v>22</v>
      </c>
      <c r="Z31" s="3">
        <v>428</v>
      </c>
      <c r="AA31" s="3" t="str">
        <f t="shared" si="4"/>
        <v>Poor</v>
      </c>
      <c r="AB31" s="3" cm="1">
        <f t="array" ref="AB31">_xlfn.IFS(fin_table[[#This Row],[Transaction Status]]="Failed", 1, fin_table[[#This Row],[Transaction Status]]="Completed",0,fin_table[[#This Row],[Transaction Status]]="Pending",2)</f>
        <v>0</v>
      </c>
      <c r="AC31" s="3" t="str">
        <f>IF(fin_table[[#This Row],[Loan Defaulters]]=1,"Default", "Good")</f>
        <v>Good</v>
      </c>
      <c r="AD31" s="3">
        <f t="shared" si="5"/>
        <v>1</v>
      </c>
      <c r="AE31" s="4">
        <v>10687.37</v>
      </c>
      <c r="AF31" s="4" t="str">
        <f>IF(fin_table[[#This Row],[Monthly Income]]&lt;3000, "Low Income", IF(fin_table[[#This Row],[Monthly Income]]&lt;=5000, "Middle Income", "High Income"))</f>
        <v>High Income</v>
      </c>
      <c r="AG31" t="s">
        <v>45</v>
      </c>
      <c r="AH31" t="s">
        <v>3635</v>
      </c>
      <c r="AI31" t="str">
        <f t="shared" si="6"/>
        <v>Low-Risk</v>
      </c>
    </row>
    <row r="32" spans="1:35" x14ac:dyDescent="0.35">
      <c r="A32" t="s">
        <v>163</v>
      </c>
      <c r="B32" t="s">
        <v>164</v>
      </c>
      <c r="C32" t="s">
        <v>165</v>
      </c>
      <c r="D32" s="1">
        <v>45133</v>
      </c>
      <c r="E32" s="1" t="str">
        <f t="shared" si="0"/>
        <v>26</v>
      </c>
      <c r="F32" s="1" t="str">
        <f t="shared" si="1"/>
        <v>Jul</v>
      </c>
      <c r="G32" s="6" t="s">
        <v>71</v>
      </c>
      <c r="H32" s="5">
        <v>3035.25</v>
      </c>
      <c r="I32" s="5" t="str">
        <f>IF(fin_table[[#This Row],[Account Balance]]&lt;20000,"Active", "Not Active")</f>
        <v>Not Active</v>
      </c>
      <c r="J32" s="5">
        <v>38766.379999999997</v>
      </c>
      <c r="K32" s="5" t="str">
        <f t="shared" si="2"/>
        <v>Medium</v>
      </c>
      <c r="L32" s="6" t="s">
        <v>35</v>
      </c>
      <c r="M32">
        <v>66</v>
      </c>
      <c r="N32" s="6" t="str">
        <f t="shared" si="3"/>
        <v>Seniors</v>
      </c>
      <c r="O32" s="6" t="s">
        <v>25</v>
      </c>
      <c r="P32" s="6" t="s">
        <v>26</v>
      </c>
      <c r="Q32" t="s">
        <v>166</v>
      </c>
      <c r="R32" s="6" t="s">
        <v>52</v>
      </c>
      <c r="S32" s="6" t="s">
        <v>44</v>
      </c>
      <c r="T32" s="14">
        <v>3.3300000000000003E-2</v>
      </c>
      <c r="U32">
        <v>3.33</v>
      </c>
      <c r="V32" t="str">
        <f>IF(fin_table[[#This Row],[Interest Rate(%)]]&gt;4,"high","low")</f>
        <v>low</v>
      </c>
      <c r="W32" s="5">
        <v>26681.654999999999</v>
      </c>
      <c r="X32" s="5">
        <f>fin_table[[#This Row],[Interest Rate]]*fin_table[[#This Row],[Loan Amount]]</f>
        <v>888.49911150000003</v>
      </c>
      <c r="Y32">
        <v>3</v>
      </c>
      <c r="Z32" s="3">
        <v>682</v>
      </c>
      <c r="AA32" s="3" t="str">
        <f t="shared" si="4"/>
        <v>Good</v>
      </c>
      <c r="AB32" s="3" cm="1">
        <f t="array" ref="AB32">_xlfn.IFS(fin_table[[#This Row],[Transaction Status]]="Failed", 1, fin_table[[#This Row],[Transaction Status]]="Completed",0,fin_table[[#This Row],[Transaction Status]]="Pending",2)</f>
        <v>0</v>
      </c>
      <c r="AC32" s="3" t="str">
        <f>IF(fin_table[[#This Row],[Loan Defaulters]]=1,"Default", "Good")</f>
        <v>Good</v>
      </c>
      <c r="AD32" s="3">
        <f t="shared" si="5"/>
        <v>3</v>
      </c>
      <c r="AE32" s="4">
        <v>4372.1899999999996</v>
      </c>
      <c r="AF32" s="4" t="str">
        <f>IF(fin_table[[#This Row],[Monthly Income]]&lt;3000, "Low Income", IF(fin_table[[#This Row],[Monthly Income]]&lt;=5000, "Middle Income", "High Income"))</f>
        <v>Middle Income</v>
      </c>
      <c r="AG32" t="s">
        <v>45</v>
      </c>
      <c r="AH32" t="s">
        <v>3635</v>
      </c>
      <c r="AI32" t="str">
        <f t="shared" si="6"/>
        <v>Low-Risk</v>
      </c>
    </row>
    <row r="33" spans="1:35" x14ac:dyDescent="0.35">
      <c r="A33" t="s">
        <v>167</v>
      </c>
      <c r="B33" t="s">
        <v>168</v>
      </c>
      <c r="C33" t="s">
        <v>169</v>
      </c>
      <c r="D33" s="1">
        <v>44951</v>
      </c>
      <c r="E33" s="1" t="str">
        <f t="shared" si="0"/>
        <v>25</v>
      </c>
      <c r="F33" s="1" t="str">
        <f t="shared" si="1"/>
        <v>Jan</v>
      </c>
      <c r="G33" s="6" t="s">
        <v>56</v>
      </c>
      <c r="H33" s="5">
        <v>9190.26</v>
      </c>
      <c r="I33" s="5" t="str">
        <f>IF(fin_table[[#This Row],[Account Balance]]&lt;20000,"Active", "Not Active")</f>
        <v>Not Active</v>
      </c>
      <c r="J33" s="5">
        <v>21947.29</v>
      </c>
      <c r="K33" s="5" t="str">
        <f t="shared" si="2"/>
        <v>Medium</v>
      </c>
      <c r="L33" s="6" t="s">
        <v>35</v>
      </c>
      <c r="M33">
        <v>43</v>
      </c>
      <c r="N33" s="6" t="str">
        <f t="shared" si="3"/>
        <v>Middle-Aged</v>
      </c>
      <c r="O33" s="6" t="s">
        <v>25</v>
      </c>
      <c r="P33" s="6" t="s">
        <v>36</v>
      </c>
      <c r="Q33" t="s">
        <v>170</v>
      </c>
      <c r="R33" s="6" t="s">
        <v>52</v>
      </c>
      <c r="S33" s="6" t="s">
        <v>44</v>
      </c>
      <c r="T33" s="14">
        <v>4.9399999999999999E-2</v>
      </c>
      <c r="U33">
        <v>4.9400000000000004</v>
      </c>
      <c r="V33" t="str">
        <f>IF(fin_table[[#This Row],[Interest Rate(%)]]&gt;4,"high","low")</f>
        <v>high</v>
      </c>
      <c r="W33" s="5">
        <v>33958.589999999997</v>
      </c>
      <c r="X33" s="5">
        <f>fin_table[[#This Row],[Interest Rate]]*fin_table[[#This Row],[Loan Amount]]</f>
        <v>1677.5543459999999</v>
      </c>
      <c r="Y33">
        <v>21</v>
      </c>
      <c r="Z33" s="3">
        <v>687</v>
      </c>
      <c r="AA33" s="3" t="str">
        <f t="shared" si="4"/>
        <v>Good</v>
      </c>
      <c r="AB33" s="3" cm="1">
        <f t="array" ref="AB33">_xlfn.IFS(fin_table[[#This Row],[Transaction Status]]="Failed", 1, fin_table[[#This Row],[Transaction Status]]="Completed",0,fin_table[[#This Row],[Transaction Status]]="Pending",2)</f>
        <v>0</v>
      </c>
      <c r="AC33" s="3" t="str">
        <f>IF(fin_table[[#This Row],[Loan Defaulters]]=1,"Default", "Good")</f>
        <v>Good</v>
      </c>
      <c r="AD33" s="3">
        <f t="shared" si="5"/>
        <v>3</v>
      </c>
      <c r="AE33" s="4">
        <v>9974.9500000000007</v>
      </c>
      <c r="AF33" s="4" t="str">
        <f>IF(fin_table[[#This Row],[Monthly Income]]&lt;3000, "Low Income", IF(fin_table[[#This Row],[Monthly Income]]&lt;=5000, "Middle Income", "High Income"))</f>
        <v>High Income</v>
      </c>
      <c r="AG33" t="s">
        <v>45</v>
      </c>
      <c r="AH33" t="s">
        <v>3636</v>
      </c>
      <c r="AI33" t="str">
        <f t="shared" si="6"/>
        <v>Low-Risk</v>
      </c>
    </row>
    <row r="34" spans="1:35" x14ac:dyDescent="0.35">
      <c r="A34" t="s">
        <v>171</v>
      </c>
      <c r="B34" t="s">
        <v>172</v>
      </c>
      <c r="C34" t="s">
        <v>173</v>
      </c>
      <c r="D34" s="1">
        <v>44795</v>
      </c>
      <c r="E34" s="1" t="str">
        <f t="shared" si="0"/>
        <v>22</v>
      </c>
      <c r="F34" s="1" t="str">
        <f t="shared" si="1"/>
        <v>Aug</v>
      </c>
      <c r="G34" s="6" t="s">
        <v>56</v>
      </c>
      <c r="H34" s="5">
        <v>1196.4100000000001</v>
      </c>
      <c r="I34" s="5" t="str">
        <f>IF(fin_table[[#This Row],[Account Balance]]&lt;20000,"Active", "Not Active")</f>
        <v>Active</v>
      </c>
      <c r="J34" s="5">
        <v>11104.65</v>
      </c>
      <c r="K34" s="5" t="str">
        <f t="shared" si="2"/>
        <v>Medium</v>
      </c>
      <c r="L34" s="6" t="s">
        <v>24</v>
      </c>
      <c r="M34">
        <v>52</v>
      </c>
      <c r="N34" s="6" t="str">
        <f t="shared" si="3"/>
        <v>Older Adults</v>
      </c>
      <c r="O34" s="6" t="s">
        <v>42</v>
      </c>
      <c r="P34" s="6" t="s">
        <v>26</v>
      </c>
      <c r="Q34" t="s">
        <v>174</v>
      </c>
      <c r="R34" s="6" t="s">
        <v>38</v>
      </c>
      <c r="S34" s="6" t="s">
        <v>44</v>
      </c>
      <c r="T34" s="14">
        <v>3.5499999999999997E-2</v>
      </c>
      <c r="U34">
        <v>3.55</v>
      </c>
      <c r="V34" t="str">
        <f>IF(fin_table[[#This Row],[Interest Rate(%)]]&gt;4,"high","low")</f>
        <v>low</v>
      </c>
      <c r="W34" s="5">
        <v>26681.654999999999</v>
      </c>
      <c r="X34" s="5">
        <f>fin_table[[#This Row],[Interest Rate]]*fin_table[[#This Row],[Loan Amount]]</f>
        <v>947.19875249999984</v>
      </c>
      <c r="Y34">
        <v>13</v>
      </c>
      <c r="Z34" s="3">
        <v>384</v>
      </c>
      <c r="AA34" s="3" t="str">
        <f t="shared" si="4"/>
        <v>Poor</v>
      </c>
      <c r="AB34" s="3" cm="1">
        <f t="array" ref="AB34">_xlfn.IFS(fin_table[[#This Row],[Transaction Status]]="Failed", 1, fin_table[[#This Row],[Transaction Status]]="Completed",0,fin_table[[#This Row],[Transaction Status]]="Pending",2)</f>
        <v>0</v>
      </c>
      <c r="AC34" s="3" t="str">
        <f>IF(fin_table[[#This Row],[Loan Defaulters]]=1,"Default", "Good")</f>
        <v>Good</v>
      </c>
      <c r="AD34" s="3">
        <f t="shared" si="5"/>
        <v>1</v>
      </c>
      <c r="AE34" s="4">
        <v>7355.48</v>
      </c>
      <c r="AF34" s="4" t="str">
        <f>IF(fin_table[[#This Row],[Monthly Income]]&lt;3000, "Low Income", IF(fin_table[[#This Row],[Monthly Income]]&lt;=5000, "Middle Income", "High Income"))</f>
        <v>High Income</v>
      </c>
      <c r="AG34" t="s">
        <v>63</v>
      </c>
      <c r="AH34" t="s">
        <v>3635</v>
      </c>
      <c r="AI34" t="str">
        <f t="shared" si="6"/>
        <v>Low-Risk</v>
      </c>
    </row>
    <row r="35" spans="1:35" x14ac:dyDescent="0.35">
      <c r="A35" t="s">
        <v>175</v>
      </c>
      <c r="B35" t="s">
        <v>176</v>
      </c>
      <c r="C35" t="s">
        <v>177</v>
      </c>
      <c r="D35" s="1">
        <v>44962</v>
      </c>
      <c r="E35" s="1" t="str">
        <f t="shared" si="0"/>
        <v>05</v>
      </c>
      <c r="F35" s="1" t="str">
        <f t="shared" si="1"/>
        <v>Feb</v>
      </c>
      <c r="G35" s="6" t="s">
        <v>71</v>
      </c>
      <c r="H35" s="5">
        <v>7619.87</v>
      </c>
      <c r="I35" s="5" t="str">
        <f>IF(fin_table[[#This Row],[Account Balance]]&lt;20000,"Active", "Not Active")</f>
        <v>Not Active</v>
      </c>
      <c r="J35" s="5">
        <v>40186.22</v>
      </c>
      <c r="K35" s="5" t="str">
        <f t="shared" si="2"/>
        <v>Medium</v>
      </c>
      <c r="L35" s="6" t="s">
        <v>100</v>
      </c>
      <c r="M35">
        <v>25</v>
      </c>
      <c r="N35" s="6" t="str">
        <f t="shared" si="3"/>
        <v>Young Adults</v>
      </c>
      <c r="O35" s="6" t="s">
        <v>42</v>
      </c>
      <c r="P35" s="6" t="s">
        <v>26</v>
      </c>
      <c r="Q35" t="s">
        <v>178</v>
      </c>
      <c r="R35" s="6" t="s">
        <v>52</v>
      </c>
      <c r="S35" s="6" t="s">
        <v>44</v>
      </c>
      <c r="T35" s="14">
        <v>4.3400000000000001E-2</v>
      </c>
      <c r="U35">
        <v>4.34</v>
      </c>
      <c r="V35" t="str">
        <f>IF(fin_table[[#This Row],[Interest Rate(%)]]&gt;4,"high","low")</f>
        <v>high</v>
      </c>
      <c r="W35" s="5">
        <v>26681.654999999999</v>
      </c>
      <c r="X35" s="5">
        <f>fin_table[[#This Row],[Interest Rate]]*fin_table[[#This Row],[Loan Amount]]</f>
        <v>1157.983827</v>
      </c>
      <c r="Y35">
        <v>13</v>
      </c>
      <c r="Z35" s="3">
        <v>809</v>
      </c>
      <c r="AA35" s="3" t="str">
        <f t="shared" si="4"/>
        <v>Excellent</v>
      </c>
      <c r="AB35" s="3" cm="1">
        <f t="array" ref="AB35">_xlfn.IFS(fin_table[[#This Row],[Transaction Status]]="Failed", 1, fin_table[[#This Row],[Transaction Status]]="Completed",0,fin_table[[#This Row],[Transaction Status]]="Pending",2)</f>
        <v>0</v>
      </c>
      <c r="AC35" s="3" t="str">
        <f>IF(fin_table[[#This Row],[Loan Defaulters]]=1,"Default", "Good")</f>
        <v>Good</v>
      </c>
      <c r="AD35" s="3">
        <f t="shared" si="5"/>
        <v>5</v>
      </c>
      <c r="AE35" s="4">
        <v>10499.39</v>
      </c>
      <c r="AF35" s="4" t="str">
        <f>IF(fin_table[[#This Row],[Monthly Income]]&lt;3000, "Low Income", IF(fin_table[[#This Row],[Monthly Income]]&lt;=5000, "Middle Income", "High Income"))</f>
        <v>High Income</v>
      </c>
      <c r="AG35" t="s">
        <v>45</v>
      </c>
      <c r="AH35" t="s">
        <v>3635</v>
      </c>
      <c r="AI35" t="str">
        <f t="shared" si="6"/>
        <v>Low-Risk</v>
      </c>
    </row>
    <row r="36" spans="1:35" x14ac:dyDescent="0.35">
      <c r="A36" t="s">
        <v>179</v>
      </c>
      <c r="B36" t="s">
        <v>180</v>
      </c>
      <c r="C36" t="s">
        <v>181</v>
      </c>
      <c r="D36" s="1">
        <v>44836</v>
      </c>
      <c r="E36" s="1" t="str">
        <f t="shared" si="0"/>
        <v>02</v>
      </c>
      <c r="F36" s="1" t="str">
        <f t="shared" si="1"/>
        <v>Oct</v>
      </c>
      <c r="G36" s="6" t="s">
        <v>56</v>
      </c>
      <c r="H36" s="5">
        <v>9881.85</v>
      </c>
      <c r="I36" s="5" t="str">
        <f>IF(fin_table[[#This Row],[Account Balance]]&lt;20000,"Active", "Not Active")</f>
        <v>Active</v>
      </c>
      <c r="J36" s="5">
        <v>17346.73</v>
      </c>
      <c r="K36" s="5" t="str">
        <f t="shared" si="2"/>
        <v>Medium</v>
      </c>
      <c r="L36" s="6" t="s">
        <v>100</v>
      </c>
      <c r="M36">
        <v>69</v>
      </c>
      <c r="N36" s="6" t="str">
        <f t="shared" si="3"/>
        <v>Seniors</v>
      </c>
      <c r="O36" s="6" t="s">
        <v>42</v>
      </c>
      <c r="P36" s="6" t="s">
        <v>50</v>
      </c>
      <c r="Q36" t="s">
        <v>182</v>
      </c>
      <c r="R36" s="6" t="s">
        <v>28</v>
      </c>
      <c r="S36" s="6" t="s">
        <v>62</v>
      </c>
      <c r="T36" s="14">
        <v>4.2000000000000003E-2</v>
      </c>
      <c r="U36">
        <v>4.2000000000000003E-2</v>
      </c>
      <c r="V36" t="str">
        <f>IF(fin_table[[#This Row],[Interest Rate(%)]]&gt;4,"high","low")</f>
        <v>low</v>
      </c>
      <c r="W36" s="5">
        <v>11547.12</v>
      </c>
      <c r="X36" s="5">
        <f>fin_table[[#This Row],[Interest Rate]]*fin_table[[#This Row],[Loan Amount]]</f>
        <v>484.97904000000005</v>
      </c>
      <c r="Y36">
        <v>13</v>
      </c>
      <c r="Z36" s="3">
        <v>736</v>
      </c>
      <c r="AA36" s="3" t="str">
        <f t="shared" si="4"/>
        <v>Good</v>
      </c>
      <c r="AB36" s="3" cm="1">
        <f t="array" ref="AB36">_xlfn.IFS(fin_table[[#This Row],[Transaction Status]]="Failed", 1, fin_table[[#This Row],[Transaction Status]]="Completed",0,fin_table[[#This Row],[Transaction Status]]="Pending",2)</f>
        <v>2</v>
      </c>
      <c r="AC36" s="3" t="str">
        <f>IF(fin_table[[#This Row],[Loan Defaulters]]=1,"Default", "Good")</f>
        <v>Good</v>
      </c>
      <c r="AD36" s="3">
        <f t="shared" si="5"/>
        <v>3</v>
      </c>
      <c r="AE36" s="4">
        <v>14935.69</v>
      </c>
      <c r="AF36" s="4" t="str">
        <f>IF(fin_table[[#This Row],[Monthly Income]]&lt;3000, "Low Income", IF(fin_table[[#This Row],[Monthly Income]]&lt;=5000, "Middle Income", "High Income"))</f>
        <v>High Income</v>
      </c>
      <c r="AG36" t="s">
        <v>45</v>
      </c>
      <c r="AH36" t="s">
        <v>3636</v>
      </c>
      <c r="AI36" t="str">
        <f t="shared" si="6"/>
        <v>Low-Risk</v>
      </c>
    </row>
    <row r="37" spans="1:35" x14ac:dyDescent="0.35">
      <c r="A37" t="s">
        <v>183</v>
      </c>
      <c r="B37" t="s">
        <v>184</v>
      </c>
      <c r="C37" t="s">
        <v>185</v>
      </c>
      <c r="D37" s="1">
        <v>44673</v>
      </c>
      <c r="E37" s="1" t="str">
        <f t="shared" si="0"/>
        <v>22</v>
      </c>
      <c r="F37" s="1" t="str">
        <f t="shared" si="1"/>
        <v>Apr</v>
      </c>
      <c r="G37" s="6" t="s">
        <v>23</v>
      </c>
      <c r="H37" s="5">
        <v>9022.83</v>
      </c>
      <c r="I37" s="5" t="str">
        <f>IF(fin_table[[#This Row],[Account Balance]]&lt;20000,"Active", "Not Active")</f>
        <v>Not Active</v>
      </c>
      <c r="J37" s="5">
        <v>43394.47</v>
      </c>
      <c r="K37" s="5" t="str">
        <f t="shared" si="2"/>
        <v>Medium</v>
      </c>
      <c r="L37" s="6" t="s">
        <v>24</v>
      </c>
      <c r="M37">
        <v>53</v>
      </c>
      <c r="N37" s="6" t="str">
        <f t="shared" si="3"/>
        <v>Older Adults</v>
      </c>
      <c r="O37" s="6" t="s">
        <v>25</v>
      </c>
      <c r="P37" s="6" t="s">
        <v>36</v>
      </c>
      <c r="Q37" t="s">
        <v>186</v>
      </c>
      <c r="R37" s="6" t="s">
        <v>52</v>
      </c>
      <c r="S37" s="6" t="s">
        <v>62</v>
      </c>
      <c r="T37" s="14">
        <v>2.3800000000000002E-2</v>
      </c>
      <c r="U37">
        <v>2.38</v>
      </c>
      <c r="V37" t="str">
        <f>IF(fin_table[[#This Row],[Interest Rate(%)]]&gt;4,"high","low")</f>
        <v>low</v>
      </c>
      <c r="W37" s="5">
        <v>26681.654999999999</v>
      </c>
      <c r="X37" s="5">
        <f>fin_table[[#This Row],[Interest Rate]]*fin_table[[#This Row],[Loan Amount]]</f>
        <v>635.02338900000007</v>
      </c>
      <c r="Y37">
        <v>10</v>
      </c>
      <c r="Z37" s="3">
        <v>592</v>
      </c>
      <c r="AA37" s="3" t="str">
        <f t="shared" si="4"/>
        <v>Fair</v>
      </c>
      <c r="AB37" s="3" cm="1">
        <f t="array" ref="AB37">_xlfn.IFS(fin_table[[#This Row],[Transaction Status]]="Failed", 1, fin_table[[#This Row],[Transaction Status]]="Completed",0,fin_table[[#This Row],[Transaction Status]]="Pending",2)</f>
        <v>2</v>
      </c>
      <c r="AC37" s="3" t="str">
        <f>IF(fin_table[[#This Row],[Loan Defaulters]]=1,"Default", "Good")</f>
        <v>Good</v>
      </c>
      <c r="AD37" s="3">
        <f t="shared" si="5"/>
        <v>2</v>
      </c>
      <c r="AE37" s="4">
        <v>14191.62</v>
      </c>
      <c r="AF37" s="4" t="str">
        <f>IF(fin_table[[#This Row],[Monthly Income]]&lt;3000, "Low Income", IF(fin_table[[#This Row],[Monthly Income]]&lt;=5000, "Middle Income", "High Income"))</f>
        <v>High Income</v>
      </c>
      <c r="AG37" t="s">
        <v>45</v>
      </c>
      <c r="AH37" t="s">
        <v>3635</v>
      </c>
      <c r="AI37" t="str">
        <f t="shared" si="6"/>
        <v>Low-Risk</v>
      </c>
    </row>
    <row r="38" spans="1:35" x14ac:dyDescent="0.35">
      <c r="A38" t="s">
        <v>187</v>
      </c>
      <c r="B38" t="s">
        <v>188</v>
      </c>
      <c r="C38" t="s">
        <v>189</v>
      </c>
      <c r="D38" s="1">
        <v>44669</v>
      </c>
      <c r="E38" s="1" t="str">
        <f t="shared" si="0"/>
        <v>18</v>
      </c>
      <c r="F38" s="1" t="str">
        <f t="shared" si="1"/>
        <v>Apr</v>
      </c>
      <c r="G38" s="6" t="s">
        <v>34</v>
      </c>
      <c r="H38" s="5">
        <v>6551.51</v>
      </c>
      <c r="I38" s="5" t="str">
        <f>IF(fin_table[[#This Row],[Account Balance]]&lt;20000,"Active", "Not Active")</f>
        <v>Not Active</v>
      </c>
      <c r="J38" s="5">
        <v>45847.6</v>
      </c>
      <c r="K38" s="5" t="str">
        <f t="shared" si="2"/>
        <v>Medium</v>
      </c>
      <c r="L38" s="6" t="s">
        <v>49</v>
      </c>
      <c r="M38">
        <v>24</v>
      </c>
      <c r="N38" s="6" t="str">
        <f t="shared" si="3"/>
        <v>Young Adults</v>
      </c>
      <c r="O38" s="6" t="s">
        <v>25</v>
      </c>
      <c r="P38" s="6" t="s">
        <v>26</v>
      </c>
      <c r="Q38" t="s">
        <v>190</v>
      </c>
      <c r="R38" s="6" t="s">
        <v>52</v>
      </c>
      <c r="S38" s="6" t="s">
        <v>62</v>
      </c>
      <c r="T38" s="14">
        <v>2.0400000000000001E-2</v>
      </c>
      <c r="U38">
        <v>2.04</v>
      </c>
      <c r="V38" t="str">
        <f>IF(fin_table[[#This Row],[Interest Rate(%)]]&gt;4,"high","low")</f>
        <v>low</v>
      </c>
      <c r="W38" s="5">
        <v>26681.654999999999</v>
      </c>
      <c r="X38" s="5">
        <f>fin_table[[#This Row],[Interest Rate]]*fin_table[[#This Row],[Loan Amount]]</f>
        <v>544.30576199999996</v>
      </c>
      <c r="Y38">
        <v>13</v>
      </c>
      <c r="Z38" s="3">
        <v>348</v>
      </c>
      <c r="AA38" s="3" t="str">
        <f t="shared" si="4"/>
        <v>Poor</v>
      </c>
      <c r="AB38" s="3" cm="1">
        <f t="array" ref="AB38">_xlfn.IFS(fin_table[[#This Row],[Transaction Status]]="Failed", 1, fin_table[[#This Row],[Transaction Status]]="Completed",0,fin_table[[#This Row],[Transaction Status]]="Pending",2)</f>
        <v>2</v>
      </c>
      <c r="AC38" s="3" t="str">
        <f>IF(fin_table[[#This Row],[Loan Defaulters]]=1,"Default", "Good")</f>
        <v>Good</v>
      </c>
      <c r="AD38" s="3">
        <f t="shared" si="5"/>
        <v>1</v>
      </c>
      <c r="AE38" s="4">
        <v>2055.66</v>
      </c>
      <c r="AF38" s="4" t="str">
        <f>IF(fin_table[[#This Row],[Monthly Income]]&lt;3000, "Low Income", IF(fin_table[[#This Row],[Monthly Income]]&lt;=5000, "Middle Income", "High Income"))</f>
        <v>Low Income</v>
      </c>
      <c r="AG38" t="s">
        <v>45</v>
      </c>
      <c r="AH38" t="s">
        <v>3635</v>
      </c>
      <c r="AI38" t="str">
        <f t="shared" si="6"/>
        <v>Low-Risk</v>
      </c>
    </row>
    <row r="39" spans="1:35" x14ac:dyDescent="0.35">
      <c r="A39" t="s">
        <v>191</v>
      </c>
      <c r="B39" t="s">
        <v>192</v>
      </c>
      <c r="C39" t="s">
        <v>193</v>
      </c>
      <c r="D39" s="1">
        <v>45047</v>
      </c>
      <c r="E39" s="1" t="str">
        <f t="shared" si="0"/>
        <v>01</v>
      </c>
      <c r="F39" s="1" t="str">
        <f t="shared" si="1"/>
        <v>May</v>
      </c>
      <c r="G39" s="6" t="s">
        <v>34</v>
      </c>
      <c r="H39" s="5">
        <v>3209.2</v>
      </c>
      <c r="I39" s="5" t="str">
        <f>IF(fin_table[[#This Row],[Account Balance]]&lt;20000,"Active", "Not Active")</f>
        <v>Not Active</v>
      </c>
      <c r="J39" s="5">
        <v>43131.37</v>
      </c>
      <c r="K39" s="5" t="str">
        <f t="shared" si="2"/>
        <v>Medium</v>
      </c>
      <c r="L39" s="6" t="s">
        <v>35</v>
      </c>
      <c r="M39">
        <v>63</v>
      </c>
      <c r="N39" s="6" t="str">
        <f t="shared" si="3"/>
        <v>Seniors</v>
      </c>
      <c r="O39" s="6" t="s">
        <v>25</v>
      </c>
      <c r="P39" s="6" t="s">
        <v>50</v>
      </c>
      <c r="Q39" t="s">
        <v>194</v>
      </c>
      <c r="R39" s="6" t="s">
        <v>52</v>
      </c>
      <c r="S39" s="6" t="s">
        <v>29</v>
      </c>
      <c r="T39" s="14">
        <v>2.7199999999999998E-2</v>
      </c>
      <c r="U39">
        <v>2.72</v>
      </c>
      <c r="V39" t="str">
        <f>IF(fin_table[[#This Row],[Interest Rate(%)]]&gt;4,"high","low")</f>
        <v>low</v>
      </c>
      <c r="W39" s="5">
        <v>34068.39</v>
      </c>
      <c r="X39" s="5">
        <f>fin_table[[#This Row],[Interest Rate]]*fin_table[[#This Row],[Loan Amount]]</f>
        <v>926.6602079999999</v>
      </c>
      <c r="Y39">
        <v>13</v>
      </c>
      <c r="Z39" s="3">
        <v>366</v>
      </c>
      <c r="AA39" s="3" t="str">
        <f t="shared" si="4"/>
        <v>Poor</v>
      </c>
      <c r="AB39" s="3" cm="1">
        <f t="array" ref="AB39">_xlfn.IFS(fin_table[[#This Row],[Transaction Status]]="Failed", 1, fin_table[[#This Row],[Transaction Status]]="Completed",0,fin_table[[#This Row],[Transaction Status]]="Pending",2)</f>
        <v>1</v>
      </c>
      <c r="AC39" s="3" t="str">
        <f>IF(fin_table[[#This Row],[Loan Defaulters]]=1,"Default", "Good")</f>
        <v>Default</v>
      </c>
      <c r="AD39" s="3">
        <f t="shared" si="5"/>
        <v>1</v>
      </c>
      <c r="AE39" s="4">
        <v>13510.7</v>
      </c>
      <c r="AF39" s="4" t="str">
        <f>IF(fin_table[[#This Row],[Monthly Income]]&lt;3000, "Low Income", IF(fin_table[[#This Row],[Monthly Income]]&lt;=5000, "Middle Income", "High Income"))</f>
        <v>High Income</v>
      </c>
      <c r="AG39" t="s">
        <v>30</v>
      </c>
      <c r="AH39" t="s">
        <v>3636</v>
      </c>
      <c r="AI39" t="str">
        <f t="shared" si="6"/>
        <v>High-Risk</v>
      </c>
    </row>
    <row r="40" spans="1:35" x14ac:dyDescent="0.35">
      <c r="A40" t="s">
        <v>195</v>
      </c>
      <c r="B40" t="s">
        <v>196</v>
      </c>
      <c r="C40" t="s">
        <v>197</v>
      </c>
      <c r="D40" s="1">
        <v>45044</v>
      </c>
      <c r="E40" s="1" t="str">
        <f t="shared" si="0"/>
        <v>28</v>
      </c>
      <c r="F40" s="1" t="str">
        <f t="shared" si="1"/>
        <v>Apr</v>
      </c>
      <c r="G40" s="6" t="s">
        <v>34</v>
      </c>
      <c r="H40" s="5">
        <v>2617.79</v>
      </c>
      <c r="I40" s="5" t="str">
        <f>IF(fin_table[[#This Row],[Account Balance]]&lt;20000,"Active", "Not Active")</f>
        <v>Active</v>
      </c>
      <c r="J40" s="5">
        <v>2715.39</v>
      </c>
      <c r="K40" s="5" t="str">
        <f t="shared" si="2"/>
        <v>Low</v>
      </c>
      <c r="L40" s="6" t="s">
        <v>35</v>
      </c>
      <c r="M40">
        <v>63</v>
      </c>
      <c r="N40" s="6" t="str">
        <f t="shared" si="3"/>
        <v>Seniors</v>
      </c>
      <c r="O40" s="6" t="s">
        <v>42</v>
      </c>
      <c r="P40" s="6" t="s">
        <v>50</v>
      </c>
      <c r="Q40" t="s">
        <v>198</v>
      </c>
      <c r="R40" s="6" t="s">
        <v>38</v>
      </c>
      <c r="S40" s="6" t="s">
        <v>29</v>
      </c>
      <c r="T40" s="14">
        <v>2.87E-2</v>
      </c>
      <c r="U40">
        <v>2.87</v>
      </c>
      <c r="V40" t="str">
        <f>IF(fin_table[[#This Row],[Interest Rate(%)]]&gt;4,"high","low")</f>
        <v>low</v>
      </c>
      <c r="W40" s="5">
        <v>24566.07</v>
      </c>
      <c r="X40" s="5">
        <f>fin_table[[#This Row],[Interest Rate]]*fin_table[[#This Row],[Loan Amount]]</f>
        <v>705.04620899999998</v>
      </c>
      <c r="Y40">
        <v>3</v>
      </c>
      <c r="Z40" s="3">
        <v>428</v>
      </c>
      <c r="AA40" s="3" t="str">
        <f t="shared" si="4"/>
        <v>Poor</v>
      </c>
      <c r="AB40" s="3" cm="1">
        <f t="array" ref="AB40">_xlfn.IFS(fin_table[[#This Row],[Transaction Status]]="Failed", 1, fin_table[[#This Row],[Transaction Status]]="Completed",0,fin_table[[#This Row],[Transaction Status]]="Pending",2)</f>
        <v>1</v>
      </c>
      <c r="AC40" s="3" t="str">
        <f>IF(fin_table[[#This Row],[Loan Defaulters]]=1,"Default", "Good")</f>
        <v>Default</v>
      </c>
      <c r="AD40" s="3">
        <f t="shared" si="5"/>
        <v>1</v>
      </c>
      <c r="AE40" s="4">
        <v>2864.38</v>
      </c>
      <c r="AF40" s="4" t="str">
        <f>IF(fin_table[[#This Row],[Monthly Income]]&lt;3000, "Low Income", IF(fin_table[[#This Row],[Monthly Income]]&lt;=5000, "Middle Income", "High Income"))</f>
        <v>Low Income</v>
      </c>
      <c r="AG40" t="s">
        <v>63</v>
      </c>
      <c r="AH40" t="s">
        <v>3636</v>
      </c>
      <c r="AI40" t="str">
        <f t="shared" si="6"/>
        <v>Low-Risk</v>
      </c>
    </row>
    <row r="41" spans="1:35" x14ac:dyDescent="0.35">
      <c r="A41" t="s">
        <v>199</v>
      </c>
      <c r="B41" t="s">
        <v>200</v>
      </c>
      <c r="C41" t="s">
        <v>201</v>
      </c>
      <c r="D41" s="1">
        <v>44994</v>
      </c>
      <c r="E41" s="1" t="str">
        <f t="shared" si="0"/>
        <v>09</v>
      </c>
      <c r="F41" s="1" t="str">
        <f t="shared" si="1"/>
        <v>Mar</v>
      </c>
      <c r="G41" s="6" t="s">
        <v>71</v>
      </c>
      <c r="H41" s="5">
        <v>8210.6299999999992</v>
      </c>
      <c r="I41" s="5" t="str">
        <f>IF(fin_table[[#This Row],[Account Balance]]&lt;20000,"Active", "Not Active")</f>
        <v>Not Active</v>
      </c>
      <c r="J41" s="5">
        <v>39581.29</v>
      </c>
      <c r="K41" s="5" t="str">
        <f t="shared" si="2"/>
        <v>Medium</v>
      </c>
      <c r="L41" s="6" t="s">
        <v>125</v>
      </c>
      <c r="M41">
        <v>53</v>
      </c>
      <c r="N41" s="6" t="str">
        <f t="shared" si="3"/>
        <v>Older Adults</v>
      </c>
      <c r="O41" s="6" t="s">
        <v>25</v>
      </c>
      <c r="P41" s="6" t="s">
        <v>50</v>
      </c>
      <c r="Q41" t="s">
        <v>202</v>
      </c>
      <c r="R41" s="6" t="s">
        <v>52</v>
      </c>
      <c r="S41" s="6" t="s">
        <v>44</v>
      </c>
      <c r="T41" s="14">
        <v>1.9599999999999999E-2</v>
      </c>
      <c r="U41">
        <v>1.96</v>
      </c>
      <c r="V41" t="str">
        <f>IF(fin_table[[#This Row],[Interest Rate(%)]]&gt;4,"high","low")</f>
        <v>low</v>
      </c>
      <c r="W41" s="5">
        <v>26681.654999999999</v>
      </c>
      <c r="X41" s="5">
        <f>fin_table[[#This Row],[Interest Rate]]*fin_table[[#This Row],[Loan Amount]]</f>
        <v>522.96043799999995</v>
      </c>
      <c r="Y41">
        <v>13</v>
      </c>
      <c r="Z41" s="3">
        <v>328</v>
      </c>
      <c r="AA41" s="3" t="str">
        <f t="shared" si="4"/>
        <v>Poor</v>
      </c>
      <c r="AB41" s="3" cm="1">
        <f t="array" ref="AB41">_xlfn.IFS(fin_table[[#This Row],[Transaction Status]]="Failed", 1, fin_table[[#This Row],[Transaction Status]]="Completed",0,fin_table[[#This Row],[Transaction Status]]="Pending",2)</f>
        <v>0</v>
      </c>
      <c r="AC41" s="3" t="str">
        <f>IF(fin_table[[#This Row],[Loan Defaulters]]=1,"Default", "Good")</f>
        <v>Good</v>
      </c>
      <c r="AD41" s="3">
        <f t="shared" si="5"/>
        <v>1</v>
      </c>
      <c r="AE41" s="4">
        <v>14389.61</v>
      </c>
      <c r="AF41" s="4" t="str">
        <f>IF(fin_table[[#This Row],[Monthly Income]]&lt;3000, "Low Income", IF(fin_table[[#This Row],[Monthly Income]]&lt;=5000, "Middle Income", "High Income"))</f>
        <v>High Income</v>
      </c>
      <c r="AG41" t="s">
        <v>63</v>
      </c>
      <c r="AH41" t="s">
        <v>3635</v>
      </c>
      <c r="AI41" t="str">
        <f t="shared" si="6"/>
        <v>Low-Risk</v>
      </c>
    </row>
    <row r="42" spans="1:35" x14ac:dyDescent="0.35">
      <c r="A42" t="s">
        <v>203</v>
      </c>
      <c r="B42" t="s">
        <v>204</v>
      </c>
      <c r="C42" t="s">
        <v>205</v>
      </c>
      <c r="D42" s="1">
        <v>44885</v>
      </c>
      <c r="E42" s="1" t="str">
        <f t="shared" si="0"/>
        <v>20</v>
      </c>
      <c r="F42" s="1" t="str">
        <f t="shared" si="1"/>
        <v>Nov</v>
      </c>
      <c r="G42" s="6" t="s">
        <v>56</v>
      </c>
      <c r="H42" s="5">
        <v>8810.24</v>
      </c>
      <c r="I42" s="5" t="str">
        <f>IF(fin_table[[#This Row],[Account Balance]]&lt;20000,"Active", "Not Active")</f>
        <v>Not Active</v>
      </c>
      <c r="J42" s="5">
        <v>21155.63</v>
      </c>
      <c r="K42" s="5" t="str">
        <f t="shared" si="2"/>
        <v>Medium</v>
      </c>
      <c r="L42" s="6" t="s">
        <v>24</v>
      </c>
      <c r="M42">
        <v>33</v>
      </c>
      <c r="N42" s="6" t="str">
        <f t="shared" si="3"/>
        <v>Adults</v>
      </c>
      <c r="O42" s="6" t="s">
        <v>42</v>
      </c>
      <c r="P42" s="6" t="s">
        <v>26</v>
      </c>
      <c r="Q42" t="s">
        <v>206</v>
      </c>
      <c r="R42" s="6" t="s">
        <v>52</v>
      </c>
      <c r="S42" s="6" t="s">
        <v>62</v>
      </c>
      <c r="T42" s="14">
        <v>4.58E-2</v>
      </c>
      <c r="U42">
        <v>4.58</v>
      </c>
      <c r="V42" t="str">
        <f>IF(fin_table[[#This Row],[Interest Rate(%)]]&gt;4,"high","low")</f>
        <v>high</v>
      </c>
      <c r="W42" s="5">
        <v>9840.26</v>
      </c>
      <c r="X42" s="5">
        <f>fin_table[[#This Row],[Interest Rate]]*fin_table[[#This Row],[Loan Amount]]</f>
        <v>450.68390800000003</v>
      </c>
      <c r="Y42">
        <v>24</v>
      </c>
      <c r="Z42" s="3">
        <v>642</v>
      </c>
      <c r="AA42" s="3" t="str">
        <f t="shared" si="4"/>
        <v>Fair</v>
      </c>
      <c r="AB42" s="3" cm="1">
        <f t="array" ref="AB42">_xlfn.IFS(fin_table[[#This Row],[Transaction Status]]="Failed", 1, fin_table[[#This Row],[Transaction Status]]="Completed",0,fin_table[[#This Row],[Transaction Status]]="Pending",2)</f>
        <v>2</v>
      </c>
      <c r="AC42" s="3" t="str">
        <f>IF(fin_table[[#This Row],[Loan Defaulters]]=1,"Default", "Good")</f>
        <v>Good</v>
      </c>
      <c r="AD42" s="3">
        <f t="shared" si="5"/>
        <v>2</v>
      </c>
      <c r="AE42" s="4">
        <v>5663.73</v>
      </c>
      <c r="AF42" s="4" t="str">
        <f>IF(fin_table[[#This Row],[Monthly Income]]&lt;3000, "Low Income", IF(fin_table[[#This Row],[Monthly Income]]&lt;=5000, "Middle Income", "High Income"))</f>
        <v>High Income</v>
      </c>
      <c r="AG42" t="s">
        <v>45</v>
      </c>
      <c r="AH42" t="s">
        <v>3636</v>
      </c>
      <c r="AI42" t="str">
        <f t="shared" si="6"/>
        <v>Low-Risk</v>
      </c>
    </row>
    <row r="43" spans="1:35" x14ac:dyDescent="0.35">
      <c r="A43" t="s">
        <v>207</v>
      </c>
      <c r="B43" t="s">
        <v>208</v>
      </c>
      <c r="C43" t="s">
        <v>209</v>
      </c>
      <c r="D43" s="1">
        <v>44804</v>
      </c>
      <c r="E43" s="1" t="str">
        <f t="shared" si="0"/>
        <v>31</v>
      </c>
      <c r="F43" s="1" t="str">
        <f t="shared" si="1"/>
        <v>Aug</v>
      </c>
      <c r="G43" s="6" t="s">
        <v>23</v>
      </c>
      <c r="H43" s="5">
        <v>5301.81</v>
      </c>
      <c r="I43" s="5" t="str">
        <f>IF(fin_table[[#This Row],[Account Balance]]&lt;20000,"Active", "Not Active")</f>
        <v>Not Active</v>
      </c>
      <c r="J43" s="5">
        <v>43812.42</v>
      </c>
      <c r="K43" s="5" t="str">
        <f t="shared" si="2"/>
        <v>Medium</v>
      </c>
      <c r="L43" s="6" t="s">
        <v>125</v>
      </c>
      <c r="M43">
        <v>41</v>
      </c>
      <c r="N43" s="6" t="str">
        <f t="shared" si="3"/>
        <v>Middle-Aged</v>
      </c>
      <c r="O43" s="6" t="s">
        <v>25</v>
      </c>
      <c r="P43" s="6" t="s">
        <v>50</v>
      </c>
      <c r="Q43" t="s">
        <v>210</v>
      </c>
      <c r="R43" s="6" t="s">
        <v>28</v>
      </c>
      <c r="S43" s="6" t="s">
        <v>29</v>
      </c>
      <c r="T43" s="14">
        <v>3.1699999999999999E-2</v>
      </c>
      <c r="U43">
        <v>3.17</v>
      </c>
      <c r="V43" t="str">
        <f>IF(fin_table[[#This Row],[Interest Rate(%)]]&gt;4,"high","low")</f>
        <v>low</v>
      </c>
      <c r="W43" s="5">
        <v>26681.654999999999</v>
      </c>
      <c r="X43" s="5">
        <f>fin_table[[#This Row],[Interest Rate]]*fin_table[[#This Row],[Loan Amount]]</f>
        <v>845.8084634999999</v>
      </c>
      <c r="Y43">
        <v>13</v>
      </c>
      <c r="Z43" s="3">
        <v>844</v>
      </c>
      <c r="AA43" s="3" t="str">
        <f t="shared" si="4"/>
        <v>Excellent</v>
      </c>
      <c r="AB43" s="3" cm="1">
        <f t="array" ref="AB43">_xlfn.IFS(fin_table[[#This Row],[Transaction Status]]="Failed", 1, fin_table[[#This Row],[Transaction Status]]="Completed",0,fin_table[[#This Row],[Transaction Status]]="Pending",2)</f>
        <v>1</v>
      </c>
      <c r="AC43" s="3" t="str">
        <f>IF(fin_table[[#This Row],[Loan Defaulters]]=1,"Default", "Good")</f>
        <v>Default</v>
      </c>
      <c r="AD43" s="3">
        <f t="shared" si="5"/>
        <v>5</v>
      </c>
      <c r="AE43" s="4">
        <v>6966.45</v>
      </c>
      <c r="AF43" s="4" t="str">
        <f>IF(fin_table[[#This Row],[Monthly Income]]&lt;3000, "Low Income", IF(fin_table[[#This Row],[Monthly Income]]&lt;=5000, "Middle Income", "High Income"))</f>
        <v>High Income</v>
      </c>
      <c r="AG43" t="s">
        <v>63</v>
      </c>
      <c r="AH43" t="s">
        <v>3635</v>
      </c>
      <c r="AI43" t="str">
        <f t="shared" si="6"/>
        <v>Low-Risk</v>
      </c>
    </row>
    <row r="44" spans="1:35" x14ac:dyDescent="0.35">
      <c r="A44" t="s">
        <v>211</v>
      </c>
      <c r="B44" t="s">
        <v>212</v>
      </c>
      <c r="C44" t="s">
        <v>213</v>
      </c>
      <c r="D44" s="1">
        <v>44683</v>
      </c>
      <c r="E44" s="1" t="str">
        <f t="shared" si="0"/>
        <v>02</v>
      </c>
      <c r="F44" s="1" t="str">
        <f t="shared" si="1"/>
        <v>May</v>
      </c>
      <c r="G44" s="6" t="s">
        <v>23</v>
      </c>
      <c r="H44" s="5">
        <v>2518.9699999999998</v>
      </c>
      <c r="I44" s="5" t="str">
        <f>IF(fin_table[[#This Row],[Account Balance]]&lt;20000,"Active", "Not Active")</f>
        <v>Not Active</v>
      </c>
      <c r="J44" s="5">
        <v>32259.759999999998</v>
      </c>
      <c r="K44" s="5" t="str">
        <f t="shared" si="2"/>
        <v>Medium</v>
      </c>
      <c r="L44" s="6" t="s">
        <v>125</v>
      </c>
      <c r="M44">
        <v>18</v>
      </c>
      <c r="N44" s="6" t="str">
        <f t="shared" si="3"/>
        <v>Young Adults</v>
      </c>
      <c r="O44" s="6" t="s">
        <v>42</v>
      </c>
      <c r="P44" s="6" t="s">
        <v>36</v>
      </c>
      <c r="Q44" t="s">
        <v>214</v>
      </c>
      <c r="R44" s="6" t="s">
        <v>52</v>
      </c>
      <c r="S44" s="6" t="s">
        <v>29</v>
      </c>
      <c r="T44" s="14">
        <v>4.9099999999999998E-2</v>
      </c>
      <c r="U44">
        <v>4.91</v>
      </c>
      <c r="V44" t="str">
        <f>IF(fin_table[[#This Row],[Interest Rate(%)]]&gt;4,"high","low")</f>
        <v>high</v>
      </c>
      <c r="W44" s="5">
        <v>10548.76</v>
      </c>
      <c r="X44" s="5">
        <f>fin_table[[#This Row],[Interest Rate]]*fin_table[[#This Row],[Loan Amount]]</f>
        <v>517.94411600000001</v>
      </c>
      <c r="Y44">
        <v>22</v>
      </c>
      <c r="Z44" s="3">
        <v>418</v>
      </c>
      <c r="AA44" s="3" t="str">
        <f t="shared" si="4"/>
        <v>Poor</v>
      </c>
      <c r="AB44" s="3" cm="1">
        <f t="array" ref="AB44">_xlfn.IFS(fin_table[[#This Row],[Transaction Status]]="Failed", 1, fin_table[[#This Row],[Transaction Status]]="Completed",0,fin_table[[#This Row],[Transaction Status]]="Pending",2)</f>
        <v>1</v>
      </c>
      <c r="AC44" s="3" t="str">
        <f>IF(fin_table[[#This Row],[Loan Defaulters]]=1,"Default", "Good")</f>
        <v>Default</v>
      </c>
      <c r="AD44" s="3">
        <f t="shared" si="5"/>
        <v>1</v>
      </c>
      <c r="AE44" s="4">
        <v>3191.3</v>
      </c>
      <c r="AF44" s="4" t="str">
        <f>IF(fin_table[[#This Row],[Monthly Income]]&lt;3000, "Low Income", IF(fin_table[[#This Row],[Monthly Income]]&lt;=5000, "Middle Income", "High Income"))</f>
        <v>Middle Income</v>
      </c>
      <c r="AG44" t="s">
        <v>63</v>
      </c>
      <c r="AH44" t="s">
        <v>3636</v>
      </c>
      <c r="AI44" t="str">
        <f t="shared" si="6"/>
        <v>Low-Risk</v>
      </c>
    </row>
    <row r="45" spans="1:35" x14ac:dyDescent="0.35">
      <c r="A45" t="s">
        <v>215</v>
      </c>
      <c r="B45" t="s">
        <v>216</v>
      </c>
      <c r="C45" t="s">
        <v>217</v>
      </c>
      <c r="D45" s="1">
        <v>45011</v>
      </c>
      <c r="E45" s="1" t="str">
        <f t="shared" si="0"/>
        <v>26</v>
      </c>
      <c r="F45" s="1" t="str">
        <f t="shared" si="1"/>
        <v>Mar</v>
      </c>
      <c r="G45" s="6" t="s">
        <v>71</v>
      </c>
      <c r="H45" s="5">
        <v>1218.1400000000001</v>
      </c>
      <c r="I45" s="5" t="str">
        <f>IF(fin_table[[#This Row],[Account Balance]]&lt;20000,"Active", "Not Active")</f>
        <v>Not Active</v>
      </c>
      <c r="J45" s="5">
        <v>41848.51</v>
      </c>
      <c r="K45" s="5" t="str">
        <f t="shared" si="2"/>
        <v>Medium</v>
      </c>
      <c r="L45" s="6" t="s">
        <v>100</v>
      </c>
      <c r="M45">
        <v>66</v>
      </c>
      <c r="N45" s="6" t="str">
        <f t="shared" si="3"/>
        <v>Seniors</v>
      </c>
      <c r="O45" s="6" t="s">
        <v>25</v>
      </c>
      <c r="P45" s="6" t="s">
        <v>36</v>
      </c>
      <c r="Q45" t="s">
        <v>218</v>
      </c>
      <c r="R45" s="6" t="s">
        <v>52</v>
      </c>
      <c r="S45" s="6" t="s">
        <v>62</v>
      </c>
      <c r="T45" s="14">
        <v>4.24E-2</v>
      </c>
      <c r="U45">
        <v>4.24</v>
      </c>
      <c r="V45" t="str">
        <f>IF(fin_table[[#This Row],[Interest Rate(%)]]&gt;4,"high","low")</f>
        <v>high</v>
      </c>
      <c r="W45" s="5">
        <v>26890.1</v>
      </c>
      <c r="X45" s="5">
        <f>fin_table[[#This Row],[Interest Rate]]*fin_table[[#This Row],[Loan Amount]]</f>
        <v>1140.1402399999999</v>
      </c>
      <c r="Y45">
        <v>18</v>
      </c>
      <c r="Z45" s="3">
        <v>432</v>
      </c>
      <c r="AA45" s="3" t="str">
        <f t="shared" si="4"/>
        <v>Poor</v>
      </c>
      <c r="AB45" s="3" cm="1">
        <f t="array" ref="AB45">_xlfn.IFS(fin_table[[#This Row],[Transaction Status]]="Failed", 1, fin_table[[#This Row],[Transaction Status]]="Completed",0,fin_table[[#This Row],[Transaction Status]]="Pending",2)</f>
        <v>2</v>
      </c>
      <c r="AC45" s="3" t="str">
        <f>IF(fin_table[[#This Row],[Loan Defaulters]]=1,"Default", "Good")</f>
        <v>Good</v>
      </c>
      <c r="AD45" s="3">
        <f t="shared" si="5"/>
        <v>1</v>
      </c>
      <c r="AE45" s="4">
        <v>3459.55</v>
      </c>
      <c r="AF45" s="4" t="str">
        <f>IF(fin_table[[#This Row],[Monthly Income]]&lt;3000, "Low Income", IF(fin_table[[#This Row],[Monthly Income]]&lt;=5000, "Middle Income", "High Income"))</f>
        <v>Middle Income</v>
      </c>
      <c r="AG45" t="s">
        <v>30</v>
      </c>
      <c r="AH45" t="s">
        <v>3636</v>
      </c>
      <c r="AI45" t="str">
        <f t="shared" si="6"/>
        <v>Low-Risk</v>
      </c>
    </row>
    <row r="46" spans="1:35" x14ac:dyDescent="0.35">
      <c r="A46" t="s">
        <v>219</v>
      </c>
      <c r="B46" t="s">
        <v>220</v>
      </c>
      <c r="C46" t="s">
        <v>221</v>
      </c>
      <c r="D46" s="1">
        <v>45065</v>
      </c>
      <c r="E46" s="1" t="str">
        <f t="shared" si="0"/>
        <v>19</v>
      </c>
      <c r="F46" s="1" t="str">
        <f t="shared" si="1"/>
        <v>May</v>
      </c>
      <c r="G46" s="6" t="s">
        <v>23</v>
      </c>
      <c r="H46" s="5">
        <v>963.08</v>
      </c>
      <c r="I46" s="5" t="str">
        <f>IF(fin_table[[#This Row],[Account Balance]]&lt;20000,"Active", "Not Active")</f>
        <v>Not Active</v>
      </c>
      <c r="J46" s="5">
        <v>25472.16</v>
      </c>
      <c r="K46" s="5" t="str">
        <f t="shared" si="2"/>
        <v>Medium</v>
      </c>
      <c r="L46" s="6" t="s">
        <v>35</v>
      </c>
      <c r="M46">
        <v>42</v>
      </c>
      <c r="N46" s="6" t="str">
        <f t="shared" si="3"/>
        <v>Middle-Aged</v>
      </c>
      <c r="O46" s="6" t="s">
        <v>25</v>
      </c>
      <c r="P46" s="6" t="s">
        <v>26</v>
      </c>
      <c r="Q46" t="s">
        <v>222</v>
      </c>
      <c r="R46" s="6" t="s">
        <v>52</v>
      </c>
      <c r="S46" s="6" t="s">
        <v>29</v>
      </c>
      <c r="T46" s="14">
        <v>3.2199999999999999E-2</v>
      </c>
      <c r="U46">
        <v>3.22</v>
      </c>
      <c r="V46" t="str">
        <f>IF(fin_table[[#This Row],[Interest Rate(%)]]&gt;4,"high","low")</f>
        <v>low</v>
      </c>
      <c r="W46" s="5">
        <v>33134.769999999997</v>
      </c>
      <c r="X46" s="5">
        <f>fin_table[[#This Row],[Interest Rate]]*fin_table[[#This Row],[Loan Amount]]</f>
        <v>1066.9395939999999</v>
      </c>
      <c r="Y46">
        <v>13</v>
      </c>
      <c r="Z46" s="3">
        <v>626</v>
      </c>
      <c r="AA46" s="3" t="str">
        <f t="shared" si="4"/>
        <v>Fair</v>
      </c>
      <c r="AB46" s="3" cm="1">
        <f t="array" ref="AB46">_xlfn.IFS(fin_table[[#This Row],[Transaction Status]]="Failed", 1, fin_table[[#This Row],[Transaction Status]]="Completed",0,fin_table[[#This Row],[Transaction Status]]="Pending",2)</f>
        <v>1</v>
      </c>
      <c r="AC46" s="3" t="str">
        <f>IF(fin_table[[#This Row],[Loan Defaulters]]=1,"Default", "Good")</f>
        <v>Default</v>
      </c>
      <c r="AD46" s="3">
        <f t="shared" si="5"/>
        <v>2</v>
      </c>
      <c r="AE46" s="4">
        <v>11447.63</v>
      </c>
      <c r="AF46" s="4" t="str">
        <f>IF(fin_table[[#This Row],[Monthly Income]]&lt;3000, "Low Income", IF(fin_table[[#This Row],[Monthly Income]]&lt;=5000, "Middle Income", "High Income"))</f>
        <v>High Income</v>
      </c>
      <c r="AG46" t="s">
        <v>63</v>
      </c>
      <c r="AH46" t="s">
        <v>3636</v>
      </c>
      <c r="AI46" t="str">
        <f t="shared" si="6"/>
        <v>Low-Risk</v>
      </c>
    </row>
    <row r="47" spans="1:35" x14ac:dyDescent="0.35">
      <c r="A47" t="s">
        <v>223</v>
      </c>
      <c r="B47" t="s">
        <v>224</v>
      </c>
      <c r="C47" t="s">
        <v>225</v>
      </c>
      <c r="D47" s="1">
        <v>44981</v>
      </c>
      <c r="E47" s="1" t="str">
        <f t="shared" si="0"/>
        <v>24</v>
      </c>
      <c r="F47" s="1" t="str">
        <f t="shared" si="1"/>
        <v>Feb</v>
      </c>
      <c r="G47" s="6" t="s">
        <v>23</v>
      </c>
      <c r="H47" s="5">
        <v>7218.87</v>
      </c>
      <c r="I47" s="5" t="str">
        <f>IF(fin_table[[#This Row],[Account Balance]]&lt;20000,"Active", "Not Active")</f>
        <v>Not Active</v>
      </c>
      <c r="J47" s="5">
        <v>27216.25</v>
      </c>
      <c r="K47" s="5" t="str">
        <f t="shared" si="2"/>
        <v>Medium</v>
      </c>
      <c r="L47" s="6" t="s">
        <v>125</v>
      </c>
      <c r="M47">
        <v>27</v>
      </c>
      <c r="N47" s="6" t="str">
        <f t="shared" si="3"/>
        <v>Adults</v>
      </c>
      <c r="O47" s="6" t="s">
        <v>42</v>
      </c>
      <c r="P47" s="6" t="s">
        <v>36</v>
      </c>
      <c r="Q47" t="s">
        <v>226</v>
      </c>
      <c r="R47" s="6" t="s">
        <v>52</v>
      </c>
      <c r="S47" s="6" t="s">
        <v>29</v>
      </c>
      <c r="T47" s="14">
        <v>4.7899999999999998E-2</v>
      </c>
      <c r="U47">
        <v>4.79</v>
      </c>
      <c r="V47" t="str">
        <f>IF(fin_table[[#This Row],[Interest Rate(%)]]&gt;4,"high","low")</f>
        <v>high</v>
      </c>
      <c r="W47" s="5">
        <v>42232.29</v>
      </c>
      <c r="X47" s="5">
        <f>fin_table[[#This Row],[Interest Rate]]*fin_table[[#This Row],[Loan Amount]]</f>
        <v>2022.9266909999999</v>
      </c>
      <c r="Y47">
        <v>8</v>
      </c>
      <c r="Z47" s="3">
        <v>484</v>
      </c>
      <c r="AA47" s="3" t="str">
        <f t="shared" si="4"/>
        <v>Poor</v>
      </c>
      <c r="AB47" s="3" cm="1">
        <f t="array" ref="AB47">_xlfn.IFS(fin_table[[#This Row],[Transaction Status]]="Failed", 1, fin_table[[#This Row],[Transaction Status]]="Completed",0,fin_table[[#This Row],[Transaction Status]]="Pending",2)</f>
        <v>1</v>
      </c>
      <c r="AC47" s="3" t="str">
        <f>IF(fin_table[[#This Row],[Loan Defaulters]]=1,"Default", "Good")</f>
        <v>Default</v>
      </c>
      <c r="AD47" s="3">
        <f t="shared" si="5"/>
        <v>1</v>
      </c>
      <c r="AE47" s="4">
        <v>14276.32</v>
      </c>
      <c r="AF47" s="4" t="str">
        <f>IF(fin_table[[#This Row],[Monthly Income]]&lt;3000, "Low Income", IF(fin_table[[#This Row],[Monthly Income]]&lt;=5000, "Middle Income", "High Income"))</f>
        <v>High Income</v>
      </c>
      <c r="AG47" t="s">
        <v>30</v>
      </c>
      <c r="AH47" t="s">
        <v>3636</v>
      </c>
      <c r="AI47" t="str">
        <f t="shared" si="6"/>
        <v>High-Risk</v>
      </c>
    </row>
    <row r="48" spans="1:35" x14ac:dyDescent="0.35">
      <c r="A48" t="s">
        <v>227</v>
      </c>
      <c r="B48" t="s">
        <v>228</v>
      </c>
      <c r="C48" t="s">
        <v>229</v>
      </c>
      <c r="D48" s="1">
        <v>44639</v>
      </c>
      <c r="E48" s="1" t="str">
        <f t="shared" si="0"/>
        <v>19</v>
      </c>
      <c r="F48" s="1" t="str">
        <f t="shared" si="1"/>
        <v>Mar</v>
      </c>
      <c r="G48" s="6" t="s">
        <v>23</v>
      </c>
      <c r="H48" s="5">
        <v>4259.18</v>
      </c>
      <c r="I48" s="5" t="str">
        <f>IF(fin_table[[#This Row],[Account Balance]]&lt;20000,"Active", "Not Active")</f>
        <v>Active</v>
      </c>
      <c r="J48" s="5">
        <v>8074.99</v>
      </c>
      <c r="K48" s="5" t="str">
        <f t="shared" si="2"/>
        <v>Low</v>
      </c>
      <c r="L48" s="6" t="s">
        <v>100</v>
      </c>
      <c r="M48">
        <v>33</v>
      </c>
      <c r="N48" s="6" t="str">
        <f t="shared" si="3"/>
        <v>Adults</v>
      </c>
      <c r="O48" s="6" t="s">
        <v>42</v>
      </c>
      <c r="P48" s="6" t="s">
        <v>50</v>
      </c>
      <c r="Q48" t="s">
        <v>142</v>
      </c>
      <c r="R48" s="6" t="s">
        <v>28</v>
      </c>
      <c r="S48" s="6" t="s">
        <v>62</v>
      </c>
      <c r="T48" s="14">
        <v>3.0200000000000001E-2</v>
      </c>
      <c r="U48">
        <v>3.02</v>
      </c>
      <c r="V48" t="str">
        <f>IF(fin_table[[#This Row],[Interest Rate(%)]]&gt;4,"high","low")</f>
        <v>low</v>
      </c>
      <c r="W48" s="5">
        <v>26681.654999999999</v>
      </c>
      <c r="X48" s="5">
        <f>fin_table[[#This Row],[Interest Rate]]*fin_table[[#This Row],[Loan Amount]]</f>
        <v>805.78598099999999</v>
      </c>
      <c r="Y48">
        <v>13</v>
      </c>
      <c r="Z48" s="3">
        <v>805</v>
      </c>
      <c r="AA48" s="3" t="str">
        <f t="shared" si="4"/>
        <v>Excellent</v>
      </c>
      <c r="AB48" s="3" cm="1">
        <f t="array" ref="AB48">_xlfn.IFS(fin_table[[#This Row],[Transaction Status]]="Failed", 1, fin_table[[#This Row],[Transaction Status]]="Completed",0,fin_table[[#This Row],[Transaction Status]]="Pending",2)</f>
        <v>2</v>
      </c>
      <c r="AC48" s="3" t="str">
        <f>IF(fin_table[[#This Row],[Loan Defaulters]]=1,"Default", "Good")</f>
        <v>Good</v>
      </c>
      <c r="AD48" s="3">
        <f t="shared" si="5"/>
        <v>5</v>
      </c>
      <c r="AE48" s="4">
        <v>9939.73</v>
      </c>
      <c r="AF48" s="4" t="str">
        <f>IF(fin_table[[#This Row],[Monthly Income]]&lt;3000, "Low Income", IF(fin_table[[#This Row],[Monthly Income]]&lt;=5000, "Middle Income", "High Income"))</f>
        <v>High Income</v>
      </c>
      <c r="AG48" t="s">
        <v>63</v>
      </c>
      <c r="AH48" t="s">
        <v>3635</v>
      </c>
      <c r="AI48" t="str">
        <f t="shared" si="6"/>
        <v>Low-Risk</v>
      </c>
    </row>
    <row r="49" spans="1:35" x14ac:dyDescent="0.35">
      <c r="A49" t="s">
        <v>230</v>
      </c>
      <c r="B49" t="s">
        <v>231</v>
      </c>
      <c r="C49" t="s">
        <v>232</v>
      </c>
      <c r="D49" s="1">
        <v>44713</v>
      </c>
      <c r="E49" s="1" t="str">
        <f t="shared" si="0"/>
        <v>01</v>
      </c>
      <c r="F49" s="1" t="str">
        <f t="shared" si="1"/>
        <v>Jun</v>
      </c>
      <c r="G49" s="6" t="s">
        <v>23</v>
      </c>
      <c r="H49" s="5">
        <v>9063.06</v>
      </c>
      <c r="I49" s="5" t="str">
        <f>IF(fin_table[[#This Row],[Account Balance]]&lt;20000,"Active", "Not Active")</f>
        <v>Not Active</v>
      </c>
      <c r="J49" s="5">
        <v>39415.379999999997</v>
      </c>
      <c r="K49" s="5" t="str">
        <f t="shared" si="2"/>
        <v>Medium</v>
      </c>
      <c r="L49" s="6" t="s">
        <v>24</v>
      </c>
      <c r="M49">
        <v>33</v>
      </c>
      <c r="N49" s="6" t="str">
        <f t="shared" si="3"/>
        <v>Adults</v>
      </c>
      <c r="O49" s="6" t="s">
        <v>25</v>
      </c>
      <c r="P49" s="6" t="s">
        <v>26</v>
      </c>
      <c r="Q49" t="s">
        <v>233</v>
      </c>
      <c r="R49" s="6" t="s">
        <v>28</v>
      </c>
      <c r="S49" s="6" t="s">
        <v>29</v>
      </c>
      <c r="T49" s="14">
        <v>4.5499999999999999E-2</v>
      </c>
      <c r="U49">
        <v>4.55</v>
      </c>
      <c r="V49" t="str">
        <f>IF(fin_table[[#This Row],[Interest Rate(%)]]&gt;4,"high","low")</f>
        <v>high</v>
      </c>
      <c r="W49" s="5">
        <v>7933.99</v>
      </c>
      <c r="X49" s="5">
        <f>fin_table[[#This Row],[Interest Rate]]*fin_table[[#This Row],[Loan Amount]]</f>
        <v>360.99654499999997</v>
      </c>
      <c r="Y49">
        <v>25</v>
      </c>
      <c r="Z49" s="3">
        <v>833</v>
      </c>
      <c r="AA49" s="3" t="str">
        <f t="shared" si="4"/>
        <v>Excellent</v>
      </c>
      <c r="AB49" s="3" cm="1">
        <f t="array" ref="AB49">_xlfn.IFS(fin_table[[#This Row],[Transaction Status]]="Failed", 1, fin_table[[#This Row],[Transaction Status]]="Completed",0,fin_table[[#This Row],[Transaction Status]]="Pending",2)</f>
        <v>1</v>
      </c>
      <c r="AC49" s="3" t="str">
        <f>IF(fin_table[[#This Row],[Loan Defaulters]]=1,"Default", "Good")</f>
        <v>Default</v>
      </c>
      <c r="AD49" s="3">
        <f t="shared" si="5"/>
        <v>5</v>
      </c>
      <c r="AE49" s="4">
        <v>11306.05</v>
      </c>
      <c r="AF49" s="4" t="str">
        <f>IF(fin_table[[#This Row],[Monthly Income]]&lt;3000, "Low Income", IF(fin_table[[#This Row],[Monthly Income]]&lt;=5000, "Middle Income", "High Income"))</f>
        <v>High Income</v>
      </c>
      <c r="AG49" t="s">
        <v>30</v>
      </c>
      <c r="AH49" t="s">
        <v>3636</v>
      </c>
      <c r="AI49" t="str">
        <f t="shared" si="6"/>
        <v>Low-Risk</v>
      </c>
    </row>
    <row r="50" spans="1:35" x14ac:dyDescent="0.35">
      <c r="A50" t="s">
        <v>234</v>
      </c>
      <c r="B50" t="s">
        <v>235</v>
      </c>
      <c r="C50" t="s">
        <v>236</v>
      </c>
      <c r="D50" s="1">
        <v>44997</v>
      </c>
      <c r="E50" s="1" t="str">
        <f t="shared" si="0"/>
        <v>12</v>
      </c>
      <c r="F50" s="1" t="str">
        <f t="shared" si="1"/>
        <v>Mar</v>
      </c>
      <c r="G50" s="6" t="s">
        <v>56</v>
      </c>
      <c r="H50" s="5">
        <v>7422.75</v>
      </c>
      <c r="I50" s="5" t="str">
        <f>IF(fin_table[[#This Row],[Account Balance]]&lt;20000,"Active", "Not Active")</f>
        <v>Not Active</v>
      </c>
      <c r="J50" s="5">
        <v>21550.09</v>
      </c>
      <c r="K50" s="5" t="str">
        <f t="shared" si="2"/>
        <v>Medium</v>
      </c>
      <c r="L50" s="6" t="s">
        <v>125</v>
      </c>
      <c r="M50">
        <v>25</v>
      </c>
      <c r="N50" s="6" t="str">
        <f t="shared" si="3"/>
        <v>Young Adults</v>
      </c>
      <c r="O50" s="6" t="s">
        <v>42</v>
      </c>
      <c r="P50" s="6" t="s">
        <v>50</v>
      </c>
      <c r="Q50" t="s">
        <v>237</v>
      </c>
      <c r="R50" s="6" t="s">
        <v>38</v>
      </c>
      <c r="S50" s="6" t="s">
        <v>62</v>
      </c>
      <c r="T50" s="14">
        <v>2.4299999999999999E-2</v>
      </c>
      <c r="U50">
        <v>2.4300000000000002</v>
      </c>
      <c r="V50" t="str">
        <f>IF(fin_table[[#This Row],[Interest Rate(%)]]&gt;4,"high","low")</f>
        <v>low</v>
      </c>
      <c r="W50" s="5">
        <v>18834.46</v>
      </c>
      <c r="X50" s="5">
        <f>fin_table[[#This Row],[Interest Rate]]*fin_table[[#This Row],[Loan Amount]]</f>
        <v>457.67737799999998</v>
      </c>
      <c r="Y50">
        <v>13</v>
      </c>
      <c r="Z50" s="3">
        <v>540</v>
      </c>
      <c r="AA50" s="3" t="str">
        <f t="shared" si="4"/>
        <v>Poor</v>
      </c>
      <c r="AB50" s="3" cm="1">
        <f t="array" ref="AB50">_xlfn.IFS(fin_table[[#This Row],[Transaction Status]]="Failed", 1, fin_table[[#This Row],[Transaction Status]]="Completed",0,fin_table[[#This Row],[Transaction Status]]="Pending",2)</f>
        <v>2</v>
      </c>
      <c r="AC50" s="3" t="str">
        <f>IF(fin_table[[#This Row],[Loan Defaulters]]=1,"Default", "Good")</f>
        <v>Good</v>
      </c>
      <c r="AD50" s="3">
        <f t="shared" si="5"/>
        <v>1</v>
      </c>
      <c r="AE50" s="4">
        <v>11905.61</v>
      </c>
      <c r="AF50" s="4" t="str">
        <f>IF(fin_table[[#This Row],[Monthly Income]]&lt;3000, "Low Income", IF(fin_table[[#This Row],[Monthly Income]]&lt;=5000, "Middle Income", "High Income"))</f>
        <v>High Income</v>
      </c>
      <c r="AG50" t="s">
        <v>30</v>
      </c>
      <c r="AH50" t="s">
        <v>3636</v>
      </c>
      <c r="AI50" t="str">
        <f t="shared" si="6"/>
        <v>Low-Risk</v>
      </c>
    </row>
    <row r="51" spans="1:35" x14ac:dyDescent="0.35">
      <c r="A51" t="s">
        <v>238</v>
      </c>
      <c r="B51" t="s">
        <v>239</v>
      </c>
      <c r="C51" t="s">
        <v>240</v>
      </c>
      <c r="D51" s="1">
        <v>44685</v>
      </c>
      <c r="E51" s="1" t="str">
        <f t="shared" si="0"/>
        <v>04</v>
      </c>
      <c r="F51" s="1" t="str">
        <f t="shared" si="1"/>
        <v>May</v>
      </c>
      <c r="G51" s="6" t="s">
        <v>23</v>
      </c>
      <c r="H51" s="5">
        <v>1993.48</v>
      </c>
      <c r="I51" s="5" t="str">
        <f>IF(fin_table[[#This Row],[Account Balance]]&lt;20000,"Active", "Not Active")</f>
        <v>Not Active</v>
      </c>
      <c r="J51" s="5">
        <v>25503.93</v>
      </c>
      <c r="K51" s="5" t="str">
        <f t="shared" si="2"/>
        <v>Medium</v>
      </c>
      <c r="L51" s="6" t="s">
        <v>35</v>
      </c>
      <c r="M51">
        <v>46</v>
      </c>
      <c r="N51" s="6" t="str">
        <f t="shared" si="3"/>
        <v>Older Adults</v>
      </c>
      <c r="O51" s="6" t="s">
        <v>42</v>
      </c>
      <c r="P51" s="6" t="s">
        <v>26</v>
      </c>
      <c r="Q51" t="s">
        <v>241</v>
      </c>
      <c r="R51" s="6" t="s">
        <v>52</v>
      </c>
      <c r="S51" s="6" t="s">
        <v>29</v>
      </c>
      <c r="T51" s="14">
        <v>2.5100000000000001E-2</v>
      </c>
      <c r="U51">
        <v>2.5099999999999998</v>
      </c>
      <c r="V51" t="str">
        <f>IF(fin_table[[#This Row],[Interest Rate(%)]]&gt;4,"high","low")</f>
        <v>low</v>
      </c>
      <c r="W51" s="5">
        <v>26681.654999999999</v>
      </c>
      <c r="X51" s="5">
        <f>fin_table[[#This Row],[Interest Rate]]*fin_table[[#This Row],[Loan Amount]]</f>
        <v>669.7095405</v>
      </c>
      <c r="Y51">
        <v>13</v>
      </c>
      <c r="Z51" s="3">
        <v>815</v>
      </c>
      <c r="AA51" s="3" t="str">
        <f t="shared" si="4"/>
        <v>Excellent</v>
      </c>
      <c r="AB51" s="3" cm="1">
        <f t="array" ref="AB51">_xlfn.IFS(fin_table[[#This Row],[Transaction Status]]="Failed", 1, fin_table[[#This Row],[Transaction Status]]="Completed",0,fin_table[[#This Row],[Transaction Status]]="Pending",2)</f>
        <v>1</v>
      </c>
      <c r="AC51" s="3" t="str">
        <f>IF(fin_table[[#This Row],[Loan Defaulters]]=1,"Default", "Good")</f>
        <v>Default</v>
      </c>
      <c r="AD51" s="3">
        <f t="shared" si="5"/>
        <v>5</v>
      </c>
      <c r="AE51" s="4">
        <v>5416.59</v>
      </c>
      <c r="AF51" s="4" t="str">
        <f>IF(fin_table[[#This Row],[Monthly Income]]&lt;3000, "Low Income", IF(fin_table[[#This Row],[Monthly Income]]&lt;=5000, "Middle Income", "High Income"))</f>
        <v>High Income</v>
      </c>
      <c r="AG51" t="s">
        <v>63</v>
      </c>
      <c r="AH51" t="s">
        <v>3635</v>
      </c>
      <c r="AI51" t="str">
        <f t="shared" si="6"/>
        <v>Low-Risk</v>
      </c>
    </row>
    <row r="52" spans="1:35" x14ac:dyDescent="0.35">
      <c r="A52" t="s">
        <v>242</v>
      </c>
      <c r="B52" t="s">
        <v>243</v>
      </c>
      <c r="C52" t="s">
        <v>244</v>
      </c>
      <c r="D52" s="1">
        <v>44771</v>
      </c>
      <c r="E52" s="1" t="str">
        <f t="shared" si="0"/>
        <v>29</v>
      </c>
      <c r="F52" s="1" t="str">
        <f t="shared" si="1"/>
        <v>Jul</v>
      </c>
      <c r="G52" s="6" t="s">
        <v>34</v>
      </c>
      <c r="H52" s="5">
        <v>6176.4</v>
      </c>
      <c r="I52" s="5" t="str">
        <f>IF(fin_table[[#This Row],[Account Balance]]&lt;20000,"Active", "Not Active")</f>
        <v>Not Active</v>
      </c>
      <c r="J52" s="5">
        <v>39469.79</v>
      </c>
      <c r="K52" s="5" t="str">
        <f t="shared" si="2"/>
        <v>Medium</v>
      </c>
      <c r="L52" s="6" t="s">
        <v>125</v>
      </c>
      <c r="M52">
        <v>56</v>
      </c>
      <c r="N52" s="6" t="str">
        <f t="shared" si="3"/>
        <v>Older Adults</v>
      </c>
      <c r="O52" s="6" t="s">
        <v>25</v>
      </c>
      <c r="P52" s="6" t="s">
        <v>26</v>
      </c>
      <c r="Q52" t="s">
        <v>245</v>
      </c>
      <c r="R52" s="6" t="s">
        <v>38</v>
      </c>
      <c r="S52" s="6" t="s">
        <v>62</v>
      </c>
      <c r="T52" s="14">
        <v>2.6700000000000002E-2</v>
      </c>
      <c r="U52">
        <v>2.67</v>
      </c>
      <c r="V52" t="str">
        <f>IF(fin_table[[#This Row],[Interest Rate(%)]]&gt;4,"high","low")</f>
        <v>low</v>
      </c>
      <c r="W52" s="5">
        <v>26681.654999999999</v>
      </c>
      <c r="X52" s="5">
        <f>fin_table[[#This Row],[Interest Rate]]*fin_table[[#This Row],[Loan Amount]]</f>
        <v>712.40018850000001</v>
      </c>
      <c r="Y52">
        <v>26</v>
      </c>
      <c r="Z52" s="3">
        <v>464</v>
      </c>
      <c r="AA52" s="3" t="str">
        <f t="shared" si="4"/>
        <v>Poor</v>
      </c>
      <c r="AB52" s="3" cm="1">
        <f t="array" ref="AB52">_xlfn.IFS(fin_table[[#This Row],[Transaction Status]]="Failed", 1, fin_table[[#This Row],[Transaction Status]]="Completed",0,fin_table[[#This Row],[Transaction Status]]="Pending",2)</f>
        <v>2</v>
      </c>
      <c r="AC52" s="3" t="str">
        <f>IF(fin_table[[#This Row],[Loan Defaulters]]=1,"Default", "Good")</f>
        <v>Good</v>
      </c>
      <c r="AD52" s="3">
        <f t="shared" si="5"/>
        <v>1</v>
      </c>
      <c r="AE52" s="4">
        <v>2587.9899999999998</v>
      </c>
      <c r="AF52" s="4" t="str">
        <f>IF(fin_table[[#This Row],[Monthly Income]]&lt;3000, "Low Income", IF(fin_table[[#This Row],[Monthly Income]]&lt;=5000, "Middle Income", "High Income"))</f>
        <v>Low Income</v>
      </c>
      <c r="AG52" t="s">
        <v>30</v>
      </c>
      <c r="AH52" t="s">
        <v>3635</v>
      </c>
      <c r="AI52" t="str">
        <f t="shared" si="6"/>
        <v>Low-Risk</v>
      </c>
    </row>
    <row r="53" spans="1:35" x14ac:dyDescent="0.35">
      <c r="A53" t="s">
        <v>246</v>
      </c>
      <c r="B53" t="s">
        <v>247</v>
      </c>
      <c r="C53" t="s">
        <v>248</v>
      </c>
      <c r="D53" s="1">
        <v>44646</v>
      </c>
      <c r="E53" s="1" t="str">
        <f t="shared" si="0"/>
        <v>26</v>
      </c>
      <c r="F53" s="1" t="str">
        <f t="shared" si="1"/>
        <v>Mar</v>
      </c>
      <c r="G53" s="6" t="s">
        <v>71</v>
      </c>
      <c r="H53" s="5">
        <v>4411.5</v>
      </c>
      <c r="I53" s="5" t="str">
        <f>IF(fin_table[[#This Row],[Account Balance]]&lt;20000,"Active", "Not Active")</f>
        <v>Not Active</v>
      </c>
      <c r="J53" s="5">
        <v>30343.42</v>
      </c>
      <c r="K53" s="5" t="str">
        <f t="shared" si="2"/>
        <v>Medium</v>
      </c>
      <c r="L53" s="6" t="s">
        <v>24</v>
      </c>
      <c r="M53">
        <v>45</v>
      </c>
      <c r="N53" s="6" t="str">
        <f t="shared" si="3"/>
        <v>Middle-Aged</v>
      </c>
      <c r="O53" s="6" t="s">
        <v>42</v>
      </c>
      <c r="P53" s="6" t="s">
        <v>50</v>
      </c>
      <c r="Q53" t="s">
        <v>249</v>
      </c>
      <c r="R53" s="6" t="s">
        <v>38</v>
      </c>
      <c r="S53" s="6" t="s">
        <v>29</v>
      </c>
      <c r="T53" s="14">
        <v>3.1899999999999998E-2</v>
      </c>
      <c r="U53">
        <v>3.19</v>
      </c>
      <c r="V53" t="str">
        <f>IF(fin_table[[#This Row],[Interest Rate(%)]]&gt;4,"high","low")</f>
        <v>low</v>
      </c>
      <c r="W53" s="5">
        <v>26681.654999999999</v>
      </c>
      <c r="X53" s="5">
        <f>fin_table[[#This Row],[Interest Rate]]*fin_table[[#This Row],[Loan Amount]]</f>
        <v>851.14479449999988</v>
      </c>
      <c r="Y53">
        <v>13</v>
      </c>
      <c r="Z53" s="3">
        <v>517</v>
      </c>
      <c r="AA53" s="3" t="str">
        <f t="shared" si="4"/>
        <v>Poor</v>
      </c>
      <c r="AB53" s="3" cm="1">
        <f t="array" ref="AB53">_xlfn.IFS(fin_table[[#This Row],[Transaction Status]]="Failed", 1, fin_table[[#This Row],[Transaction Status]]="Completed",0,fin_table[[#This Row],[Transaction Status]]="Pending",2)</f>
        <v>1</v>
      </c>
      <c r="AC53" s="3" t="str">
        <f>IF(fin_table[[#This Row],[Loan Defaulters]]=1,"Default", "Good")</f>
        <v>Default</v>
      </c>
      <c r="AD53" s="3">
        <f t="shared" si="5"/>
        <v>1</v>
      </c>
      <c r="AE53" s="4">
        <v>2024.35</v>
      </c>
      <c r="AF53" s="4" t="str">
        <f>IF(fin_table[[#This Row],[Monthly Income]]&lt;3000, "Low Income", IF(fin_table[[#This Row],[Monthly Income]]&lt;=5000, "Middle Income", "High Income"))</f>
        <v>Low Income</v>
      </c>
      <c r="AG53" t="s">
        <v>30</v>
      </c>
      <c r="AH53" t="s">
        <v>3635</v>
      </c>
      <c r="AI53" t="str">
        <f t="shared" si="6"/>
        <v>Low-Risk</v>
      </c>
    </row>
    <row r="54" spans="1:35" x14ac:dyDescent="0.35">
      <c r="A54" t="s">
        <v>250</v>
      </c>
      <c r="B54" t="s">
        <v>251</v>
      </c>
      <c r="C54" t="s">
        <v>252</v>
      </c>
      <c r="D54" s="1">
        <v>45117</v>
      </c>
      <c r="E54" s="1" t="str">
        <f t="shared" si="0"/>
        <v>10</v>
      </c>
      <c r="F54" s="1" t="str">
        <f t="shared" si="1"/>
        <v>Jul</v>
      </c>
      <c r="G54" s="6" t="s">
        <v>56</v>
      </c>
      <c r="H54" s="5">
        <v>5814.77</v>
      </c>
      <c r="I54" s="5" t="str">
        <f>IF(fin_table[[#This Row],[Account Balance]]&lt;20000,"Active", "Not Active")</f>
        <v>Active</v>
      </c>
      <c r="J54" s="5">
        <v>10853.84</v>
      </c>
      <c r="K54" s="5" t="str">
        <f t="shared" si="2"/>
        <v>Medium</v>
      </c>
      <c r="L54" s="6" t="s">
        <v>125</v>
      </c>
      <c r="M54">
        <v>23</v>
      </c>
      <c r="N54" s="6" t="str">
        <f t="shared" si="3"/>
        <v>Young Adults</v>
      </c>
      <c r="O54" s="6" t="s">
        <v>25</v>
      </c>
      <c r="P54" s="6" t="s">
        <v>36</v>
      </c>
      <c r="Q54" t="s">
        <v>253</v>
      </c>
      <c r="R54" s="6" t="s">
        <v>52</v>
      </c>
      <c r="S54" s="6" t="s">
        <v>29</v>
      </c>
      <c r="T54" s="14">
        <v>3.2099999999999997E-2</v>
      </c>
      <c r="U54">
        <v>3.21</v>
      </c>
      <c r="V54" t="str">
        <f>IF(fin_table[[#This Row],[Interest Rate(%)]]&gt;4,"high","low")</f>
        <v>low</v>
      </c>
      <c r="W54" s="5">
        <v>26681.654999999999</v>
      </c>
      <c r="X54" s="5">
        <f>fin_table[[#This Row],[Interest Rate]]*fin_table[[#This Row],[Loan Amount]]</f>
        <v>856.48112549999985</v>
      </c>
      <c r="Y54">
        <v>13</v>
      </c>
      <c r="Z54" s="3">
        <v>304</v>
      </c>
      <c r="AA54" s="3" t="str">
        <f t="shared" si="4"/>
        <v>Poor</v>
      </c>
      <c r="AB54" s="3" cm="1">
        <f t="array" ref="AB54">_xlfn.IFS(fin_table[[#This Row],[Transaction Status]]="Failed", 1, fin_table[[#This Row],[Transaction Status]]="Completed",0,fin_table[[#This Row],[Transaction Status]]="Pending",2)</f>
        <v>1</v>
      </c>
      <c r="AC54" s="3" t="str">
        <f>IF(fin_table[[#This Row],[Loan Defaulters]]=1,"Default", "Good")</f>
        <v>Default</v>
      </c>
      <c r="AD54" s="3">
        <f t="shared" si="5"/>
        <v>1</v>
      </c>
      <c r="AE54" s="4">
        <v>6558.44</v>
      </c>
      <c r="AF54" s="4" t="str">
        <f>IF(fin_table[[#This Row],[Monthly Income]]&lt;3000, "Low Income", IF(fin_table[[#This Row],[Monthly Income]]&lt;=5000, "Middle Income", "High Income"))</f>
        <v>High Income</v>
      </c>
      <c r="AG54" t="s">
        <v>63</v>
      </c>
      <c r="AH54" t="s">
        <v>3635</v>
      </c>
      <c r="AI54" t="str">
        <f t="shared" si="6"/>
        <v>Low-Risk</v>
      </c>
    </row>
    <row r="55" spans="1:35" x14ac:dyDescent="0.35">
      <c r="A55" t="s">
        <v>254</v>
      </c>
      <c r="B55" t="s">
        <v>255</v>
      </c>
      <c r="C55" t="s">
        <v>256</v>
      </c>
      <c r="D55" s="1">
        <v>44606</v>
      </c>
      <c r="E55" s="1" t="str">
        <f t="shared" si="0"/>
        <v>14</v>
      </c>
      <c r="F55" s="1" t="str">
        <f t="shared" si="1"/>
        <v>Feb</v>
      </c>
      <c r="G55" s="6" t="s">
        <v>23</v>
      </c>
      <c r="H55" s="5">
        <v>7406.88</v>
      </c>
      <c r="I55" s="5" t="str">
        <f>IF(fin_table[[#This Row],[Account Balance]]&lt;20000,"Active", "Not Active")</f>
        <v>Not Active</v>
      </c>
      <c r="J55" s="5">
        <v>29921.4</v>
      </c>
      <c r="K55" s="5" t="str">
        <f t="shared" si="2"/>
        <v>Medium</v>
      </c>
      <c r="L55" s="6" t="s">
        <v>35</v>
      </c>
      <c r="M55">
        <v>33</v>
      </c>
      <c r="N55" s="6" t="str">
        <f t="shared" si="3"/>
        <v>Adults</v>
      </c>
      <c r="O55" s="6" t="s">
        <v>25</v>
      </c>
      <c r="P55" s="6" t="s">
        <v>36</v>
      </c>
      <c r="Q55" t="s">
        <v>257</v>
      </c>
      <c r="R55" s="6" t="s">
        <v>28</v>
      </c>
      <c r="S55" s="6" t="s">
        <v>62</v>
      </c>
      <c r="T55" s="14">
        <v>2.9899999999999999E-2</v>
      </c>
      <c r="U55">
        <v>2.99</v>
      </c>
      <c r="V55" t="str">
        <f>IF(fin_table[[#This Row],[Interest Rate(%)]]&gt;4,"high","low")</f>
        <v>low</v>
      </c>
      <c r="W55" s="5">
        <v>8201.99</v>
      </c>
      <c r="X55" s="5">
        <f>fin_table[[#This Row],[Interest Rate]]*fin_table[[#This Row],[Loan Amount]]</f>
        <v>245.23950099999999</v>
      </c>
      <c r="Y55">
        <v>13</v>
      </c>
      <c r="Z55" s="3">
        <v>380</v>
      </c>
      <c r="AA55" s="3" t="str">
        <f t="shared" si="4"/>
        <v>Poor</v>
      </c>
      <c r="AB55" s="3" cm="1">
        <f t="array" ref="AB55">_xlfn.IFS(fin_table[[#This Row],[Transaction Status]]="Failed", 1, fin_table[[#This Row],[Transaction Status]]="Completed",0,fin_table[[#This Row],[Transaction Status]]="Pending",2)</f>
        <v>2</v>
      </c>
      <c r="AC55" s="3" t="str">
        <f>IF(fin_table[[#This Row],[Loan Defaulters]]=1,"Default", "Good")</f>
        <v>Good</v>
      </c>
      <c r="AD55" s="3">
        <f t="shared" si="5"/>
        <v>1</v>
      </c>
      <c r="AE55" s="4">
        <v>5139.03</v>
      </c>
      <c r="AF55" s="4" t="str">
        <f>IF(fin_table[[#This Row],[Monthly Income]]&lt;3000, "Low Income", IF(fin_table[[#This Row],[Monthly Income]]&lt;=5000, "Middle Income", "High Income"))</f>
        <v>High Income</v>
      </c>
      <c r="AG55" t="s">
        <v>30</v>
      </c>
      <c r="AH55" t="s">
        <v>3636</v>
      </c>
      <c r="AI55" t="str">
        <f t="shared" si="6"/>
        <v>Low-Risk</v>
      </c>
    </row>
    <row r="56" spans="1:35" x14ac:dyDescent="0.35">
      <c r="A56" t="s">
        <v>258</v>
      </c>
      <c r="B56" t="s">
        <v>259</v>
      </c>
      <c r="C56" t="s">
        <v>260</v>
      </c>
      <c r="D56" s="1">
        <v>45141</v>
      </c>
      <c r="E56" s="1" t="str">
        <f t="shared" si="0"/>
        <v>03</v>
      </c>
      <c r="F56" s="1" t="str">
        <f t="shared" si="1"/>
        <v>Aug</v>
      </c>
      <c r="G56" s="6" t="s">
        <v>56</v>
      </c>
      <c r="H56" s="5">
        <v>8081.34</v>
      </c>
      <c r="I56" s="5" t="str">
        <f>IF(fin_table[[#This Row],[Account Balance]]&lt;20000,"Active", "Not Active")</f>
        <v>Not Active</v>
      </c>
      <c r="J56" s="5">
        <v>20974.01</v>
      </c>
      <c r="K56" s="5" t="str">
        <f t="shared" si="2"/>
        <v>Medium</v>
      </c>
      <c r="L56" s="6" t="s">
        <v>100</v>
      </c>
      <c r="M56">
        <v>37</v>
      </c>
      <c r="N56" s="6" t="str">
        <f t="shared" si="3"/>
        <v>Middle-Aged</v>
      </c>
      <c r="O56" s="6" t="s">
        <v>42</v>
      </c>
      <c r="P56" s="6" t="s">
        <v>26</v>
      </c>
      <c r="Q56" t="s">
        <v>261</v>
      </c>
      <c r="R56" s="6" t="s">
        <v>28</v>
      </c>
      <c r="S56" s="6" t="s">
        <v>29</v>
      </c>
      <c r="T56" s="14">
        <v>2.2200000000000001E-2</v>
      </c>
      <c r="U56">
        <v>2.2200000000000002</v>
      </c>
      <c r="V56" t="str">
        <f>IF(fin_table[[#This Row],[Interest Rate(%)]]&gt;4,"high","low")</f>
        <v>low</v>
      </c>
      <c r="W56" s="5">
        <v>26681.654999999999</v>
      </c>
      <c r="X56" s="5">
        <f>fin_table[[#This Row],[Interest Rate]]*fin_table[[#This Row],[Loan Amount]]</f>
        <v>592.33274100000006</v>
      </c>
      <c r="Y56">
        <v>10</v>
      </c>
      <c r="Z56" s="3">
        <v>546</v>
      </c>
      <c r="AA56" s="3" t="str">
        <f t="shared" si="4"/>
        <v>Poor</v>
      </c>
      <c r="AB56" s="3" cm="1">
        <f t="array" ref="AB56">_xlfn.IFS(fin_table[[#This Row],[Transaction Status]]="Failed", 1, fin_table[[#This Row],[Transaction Status]]="Completed",0,fin_table[[#This Row],[Transaction Status]]="Pending",2)</f>
        <v>1</v>
      </c>
      <c r="AC56" s="3" t="str">
        <f>IF(fin_table[[#This Row],[Loan Defaulters]]=1,"Default", "Good")</f>
        <v>Default</v>
      </c>
      <c r="AD56" s="3">
        <f t="shared" si="5"/>
        <v>1</v>
      </c>
      <c r="AE56" s="4">
        <v>2810.13</v>
      </c>
      <c r="AF56" s="4" t="str">
        <f>IF(fin_table[[#This Row],[Monthly Income]]&lt;3000, "Low Income", IF(fin_table[[#This Row],[Monthly Income]]&lt;=5000, "Middle Income", "High Income"))</f>
        <v>Low Income</v>
      </c>
      <c r="AG56" t="s">
        <v>30</v>
      </c>
      <c r="AH56" t="s">
        <v>3635</v>
      </c>
      <c r="AI56" t="str">
        <f t="shared" si="6"/>
        <v>Low-Risk</v>
      </c>
    </row>
    <row r="57" spans="1:35" x14ac:dyDescent="0.35">
      <c r="A57" t="s">
        <v>262</v>
      </c>
      <c r="B57" t="s">
        <v>263</v>
      </c>
      <c r="C57" t="s">
        <v>264</v>
      </c>
      <c r="D57" s="1">
        <v>45144</v>
      </c>
      <c r="E57" s="1" t="str">
        <f t="shared" si="0"/>
        <v>06</v>
      </c>
      <c r="F57" s="1" t="str">
        <f t="shared" si="1"/>
        <v>Aug</v>
      </c>
      <c r="G57" s="6" t="s">
        <v>23</v>
      </c>
      <c r="H57" s="5">
        <v>8453</v>
      </c>
      <c r="I57" s="5" t="str">
        <f>IF(fin_table[[#This Row],[Account Balance]]&lt;20000,"Active", "Not Active")</f>
        <v>Not Active</v>
      </c>
      <c r="J57" s="5">
        <v>24006.75</v>
      </c>
      <c r="K57" s="5" t="str">
        <f t="shared" si="2"/>
        <v>Medium</v>
      </c>
      <c r="L57" s="6" t="s">
        <v>35</v>
      </c>
      <c r="M57">
        <v>33</v>
      </c>
      <c r="N57" s="6" t="str">
        <f t="shared" si="3"/>
        <v>Adults</v>
      </c>
      <c r="O57" s="6" t="s">
        <v>42</v>
      </c>
      <c r="P57" s="6" t="s">
        <v>50</v>
      </c>
      <c r="Q57" t="s">
        <v>265</v>
      </c>
      <c r="R57" s="6" t="s">
        <v>52</v>
      </c>
      <c r="S57" s="6" t="s">
        <v>62</v>
      </c>
      <c r="T57" s="14">
        <v>4.7100000000000003E-2</v>
      </c>
      <c r="U57">
        <v>4.71</v>
      </c>
      <c r="V57" t="str">
        <f>IF(fin_table[[#This Row],[Interest Rate(%)]]&gt;4,"high","low")</f>
        <v>high</v>
      </c>
      <c r="W57" s="5">
        <v>44968.55</v>
      </c>
      <c r="X57" s="5">
        <f>fin_table[[#This Row],[Interest Rate]]*fin_table[[#This Row],[Loan Amount]]</f>
        <v>2118.0187050000004</v>
      </c>
      <c r="Y57">
        <v>23</v>
      </c>
      <c r="Z57" s="3">
        <v>792</v>
      </c>
      <c r="AA57" s="3" t="str">
        <f t="shared" si="4"/>
        <v>Very Good</v>
      </c>
      <c r="AB57" s="3" cm="1">
        <f t="array" ref="AB57">_xlfn.IFS(fin_table[[#This Row],[Transaction Status]]="Failed", 1, fin_table[[#This Row],[Transaction Status]]="Completed",0,fin_table[[#This Row],[Transaction Status]]="Pending",2)</f>
        <v>2</v>
      </c>
      <c r="AC57" s="3" t="str">
        <f>IF(fin_table[[#This Row],[Loan Defaulters]]=1,"Default", "Good")</f>
        <v>Good</v>
      </c>
      <c r="AD57" s="3">
        <f t="shared" si="5"/>
        <v>4</v>
      </c>
      <c r="AE57" s="4">
        <v>4333.87</v>
      </c>
      <c r="AF57" s="4" t="str">
        <f>IF(fin_table[[#This Row],[Monthly Income]]&lt;3000, "Low Income", IF(fin_table[[#This Row],[Monthly Income]]&lt;=5000, "Middle Income", "High Income"))</f>
        <v>Middle Income</v>
      </c>
      <c r="AG57" t="s">
        <v>30</v>
      </c>
      <c r="AH57" t="s">
        <v>3636</v>
      </c>
      <c r="AI57" t="str">
        <f t="shared" si="6"/>
        <v>Low-Risk</v>
      </c>
    </row>
    <row r="58" spans="1:35" x14ac:dyDescent="0.35">
      <c r="A58" t="s">
        <v>266</v>
      </c>
      <c r="B58" t="s">
        <v>267</v>
      </c>
      <c r="C58" t="s">
        <v>268</v>
      </c>
      <c r="D58" s="1">
        <v>44734</v>
      </c>
      <c r="E58" s="1" t="str">
        <f t="shared" si="0"/>
        <v>22</v>
      </c>
      <c r="F58" s="1" t="str">
        <f t="shared" si="1"/>
        <v>Jun</v>
      </c>
      <c r="G58" s="6" t="s">
        <v>34</v>
      </c>
      <c r="H58" s="5">
        <v>2614.35</v>
      </c>
      <c r="I58" s="5" t="str">
        <f>IF(fin_table[[#This Row],[Account Balance]]&lt;20000,"Active", "Not Active")</f>
        <v>Active</v>
      </c>
      <c r="J58" s="5">
        <v>2387.25</v>
      </c>
      <c r="K58" s="5" t="str">
        <f t="shared" si="2"/>
        <v>Low</v>
      </c>
      <c r="L58" s="6" t="s">
        <v>100</v>
      </c>
      <c r="M58">
        <v>24</v>
      </c>
      <c r="N58" s="6" t="str">
        <f t="shared" si="3"/>
        <v>Young Adults</v>
      </c>
      <c r="O58" s="6" t="s">
        <v>25</v>
      </c>
      <c r="P58" s="6" t="s">
        <v>50</v>
      </c>
      <c r="Q58" t="s">
        <v>261</v>
      </c>
      <c r="R58" s="6" t="s">
        <v>52</v>
      </c>
      <c r="S58" s="6" t="s">
        <v>62</v>
      </c>
      <c r="T58" s="14">
        <v>3.3500000000000002E-2</v>
      </c>
      <c r="U58">
        <v>3.35</v>
      </c>
      <c r="V58" t="str">
        <f>IF(fin_table[[#This Row],[Interest Rate(%)]]&gt;4,"high","low")</f>
        <v>low</v>
      </c>
      <c r="W58" s="5">
        <v>26681.654999999999</v>
      </c>
      <c r="X58" s="5">
        <f>fin_table[[#This Row],[Interest Rate]]*fin_table[[#This Row],[Loan Amount]]</f>
        <v>893.8354425</v>
      </c>
      <c r="Y58">
        <v>13</v>
      </c>
      <c r="Z58" s="3">
        <v>685</v>
      </c>
      <c r="AA58" s="3" t="str">
        <f t="shared" si="4"/>
        <v>Good</v>
      </c>
      <c r="AB58" s="3" cm="1">
        <f t="array" ref="AB58">_xlfn.IFS(fin_table[[#This Row],[Transaction Status]]="Failed", 1, fin_table[[#This Row],[Transaction Status]]="Completed",0,fin_table[[#This Row],[Transaction Status]]="Pending",2)</f>
        <v>2</v>
      </c>
      <c r="AC58" s="3" t="str">
        <f>IF(fin_table[[#This Row],[Loan Defaulters]]=1,"Default", "Good")</f>
        <v>Good</v>
      </c>
      <c r="AD58" s="3">
        <f t="shared" si="5"/>
        <v>3</v>
      </c>
      <c r="AE58" s="4">
        <v>3618.49</v>
      </c>
      <c r="AF58" s="4" t="str">
        <f>IF(fin_table[[#This Row],[Monthly Income]]&lt;3000, "Low Income", IF(fin_table[[#This Row],[Monthly Income]]&lt;=5000, "Middle Income", "High Income"))</f>
        <v>Middle Income</v>
      </c>
      <c r="AG58" t="s">
        <v>30</v>
      </c>
      <c r="AH58" t="s">
        <v>3635</v>
      </c>
      <c r="AI58" t="str">
        <f t="shared" si="6"/>
        <v>Low-Risk</v>
      </c>
    </row>
    <row r="59" spans="1:35" x14ac:dyDescent="0.35">
      <c r="A59" t="s">
        <v>269</v>
      </c>
      <c r="B59" t="s">
        <v>270</v>
      </c>
      <c r="C59" t="s">
        <v>271</v>
      </c>
      <c r="D59" s="1">
        <v>45115</v>
      </c>
      <c r="E59" s="1" t="str">
        <f t="shared" si="0"/>
        <v>08</v>
      </c>
      <c r="F59" s="1" t="str">
        <f t="shared" si="1"/>
        <v>Jul</v>
      </c>
      <c r="G59" s="6" t="s">
        <v>71</v>
      </c>
      <c r="H59" s="5">
        <v>408.04</v>
      </c>
      <c r="I59" s="5" t="str">
        <f>IF(fin_table[[#This Row],[Account Balance]]&lt;20000,"Active", "Not Active")</f>
        <v>Active</v>
      </c>
      <c r="J59" s="5">
        <v>11291.44</v>
      </c>
      <c r="K59" s="5" t="str">
        <f t="shared" si="2"/>
        <v>Medium</v>
      </c>
      <c r="L59" s="6" t="s">
        <v>49</v>
      </c>
      <c r="M59">
        <v>58</v>
      </c>
      <c r="N59" s="6" t="str">
        <f t="shared" si="3"/>
        <v>Older Adults</v>
      </c>
      <c r="O59" s="6" t="s">
        <v>25</v>
      </c>
      <c r="P59" s="6" t="s">
        <v>26</v>
      </c>
      <c r="Q59" t="s">
        <v>272</v>
      </c>
      <c r="R59" s="6" t="s">
        <v>28</v>
      </c>
      <c r="S59" s="6" t="s">
        <v>29</v>
      </c>
      <c r="T59" s="14">
        <v>2.63E-2</v>
      </c>
      <c r="U59">
        <v>2.63</v>
      </c>
      <c r="V59" t="str">
        <f>IF(fin_table[[#This Row],[Interest Rate(%)]]&gt;4,"high","low")</f>
        <v>low</v>
      </c>
      <c r="W59" s="5">
        <v>43028.67</v>
      </c>
      <c r="X59" s="5">
        <f>fin_table[[#This Row],[Interest Rate]]*fin_table[[#This Row],[Loan Amount]]</f>
        <v>1131.6540210000001</v>
      </c>
      <c r="Y59">
        <v>13</v>
      </c>
      <c r="Z59" s="3">
        <v>606</v>
      </c>
      <c r="AA59" s="3" t="str">
        <f t="shared" si="4"/>
        <v>Fair</v>
      </c>
      <c r="AB59" s="3" cm="1">
        <f t="array" ref="AB59">_xlfn.IFS(fin_table[[#This Row],[Transaction Status]]="Failed", 1, fin_table[[#This Row],[Transaction Status]]="Completed",0,fin_table[[#This Row],[Transaction Status]]="Pending",2)</f>
        <v>1</v>
      </c>
      <c r="AC59" s="3" t="str">
        <f>IF(fin_table[[#This Row],[Loan Defaulters]]=1,"Default", "Good")</f>
        <v>Default</v>
      </c>
      <c r="AD59" s="3">
        <f t="shared" si="5"/>
        <v>2</v>
      </c>
      <c r="AE59" s="4">
        <v>13893.42</v>
      </c>
      <c r="AF59" s="4" t="str">
        <f>IF(fin_table[[#This Row],[Monthly Income]]&lt;3000, "Low Income", IF(fin_table[[#This Row],[Monthly Income]]&lt;=5000, "Middle Income", "High Income"))</f>
        <v>High Income</v>
      </c>
      <c r="AG59" t="s">
        <v>30</v>
      </c>
      <c r="AH59" t="s">
        <v>3636</v>
      </c>
      <c r="AI59" t="str">
        <f t="shared" si="6"/>
        <v>Low-Risk</v>
      </c>
    </row>
    <row r="60" spans="1:35" x14ac:dyDescent="0.35">
      <c r="A60" t="s">
        <v>273</v>
      </c>
      <c r="B60" t="s">
        <v>274</v>
      </c>
      <c r="C60" t="s">
        <v>275</v>
      </c>
      <c r="D60" s="1">
        <v>45153</v>
      </c>
      <c r="E60" s="1" t="str">
        <f t="shared" si="0"/>
        <v>15</v>
      </c>
      <c r="F60" s="1" t="str">
        <f t="shared" si="1"/>
        <v>Aug</v>
      </c>
      <c r="G60" s="6" t="s">
        <v>23</v>
      </c>
      <c r="H60" s="5">
        <v>7419.02</v>
      </c>
      <c r="I60" s="5" t="str">
        <f>IF(fin_table[[#This Row],[Account Balance]]&lt;20000,"Active", "Not Active")</f>
        <v>Active</v>
      </c>
      <c r="J60" s="5">
        <v>14770.87</v>
      </c>
      <c r="K60" s="5" t="str">
        <f t="shared" si="2"/>
        <v>Medium</v>
      </c>
      <c r="L60" s="6" t="s">
        <v>35</v>
      </c>
      <c r="M60">
        <v>31</v>
      </c>
      <c r="N60" s="6" t="str">
        <f t="shared" si="3"/>
        <v>Adults</v>
      </c>
      <c r="O60" s="6" t="s">
        <v>25</v>
      </c>
      <c r="P60" s="6" t="s">
        <v>36</v>
      </c>
      <c r="Q60" t="s">
        <v>276</v>
      </c>
      <c r="R60" s="6" t="s">
        <v>52</v>
      </c>
      <c r="S60" s="6" t="s">
        <v>44</v>
      </c>
      <c r="T60" s="14">
        <v>3.5999999999999997E-2</v>
      </c>
      <c r="U60">
        <v>3.5999999999999997E-2</v>
      </c>
      <c r="V60" t="str">
        <f>IF(fin_table[[#This Row],[Interest Rate(%)]]&gt;4,"high","low")</f>
        <v>low</v>
      </c>
      <c r="W60" s="5">
        <v>26681.654999999999</v>
      </c>
      <c r="X60" s="5">
        <f>fin_table[[#This Row],[Interest Rate]]*fin_table[[#This Row],[Loan Amount]]</f>
        <v>960.53957999999989</v>
      </c>
      <c r="Y60">
        <v>4</v>
      </c>
      <c r="Z60" s="3">
        <v>842</v>
      </c>
      <c r="AA60" s="3" t="str">
        <f t="shared" si="4"/>
        <v>Excellent</v>
      </c>
      <c r="AB60" s="3" cm="1">
        <f t="array" ref="AB60">_xlfn.IFS(fin_table[[#This Row],[Transaction Status]]="Failed", 1, fin_table[[#This Row],[Transaction Status]]="Completed",0,fin_table[[#This Row],[Transaction Status]]="Pending",2)</f>
        <v>0</v>
      </c>
      <c r="AC60" s="3" t="str">
        <f>IF(fin_table[[#This Row],[Loan Defaulters]]=1,"Default", "Good")</f>
        <v>Good</v>
      </c>
      <c r="AD60" s="3">
        <f t="shared" si="5"/>
        <v>5</v>
      </c>
      <c r="AE60" s="4">
        <v>3823.47</v>
      </c>
      <c r="AF60" s="4" t="str">
        <f>IF(fin_table[[#This Row],[Monthly Income]]&lt;3000, "Low Income", IF(fin_table[[#This Row],[Monthly Income]]&lt;=5000, "Middle Income", "High Income"))</f>
        <v>Middle Income</v>
      </c>
      <c r="AG60" t="s">
        <v>45</v>
      </c>
      <c r="AH60" t="s">
        <v>3635</v>
      </c>
      <c r="AI60" t="str">
        <f t="shared" si="6"/>
        <v>Low-Risk</v>
      </c>
    </row>
    <row r="61" spans="1:35" x14ac:dyDescent="0.35">
      <c r="A61" t="s">
        <v>277</v>
      </c>
      <c r="B61" t="s">
        <v>278</v>
      </c>
      <c r="C61" t="s">
        <v>279</v>
      </c>
      <c r="D61" s="1">
        <v>45068</v>
      </c>
      <c r="E61" s="1" t="str">
        <f t="shared" si="0"/>
        <v>22</v>
      </c>
      <c r="F61" s="1" t="str">
        <f t="shared" si="1"/>
        <v>May</v>
      </c>
      <c r="G61" s="6" t="s">
        <v>23</v>
      </c>
      <c r="H61" s="5">
        <v>1152.8</v>
      </c>
      <c r="I61" s="5" t="str">
        <f>IF(fin_table[[#This Row],[Account Balance]]&lt;20000,"Active", "Not Active")</f>
        <v>Not Active</v>
      </c>
      <c r="J61" s="5">
        <v>35935.040000000001</v>
      </c>
      <c r="K61" s="5" t="str">
        <f t="shared" si="2"/>
        <v>Medium</v>
      </c>
      <c r="L61" s="6" t="s">
        <v>35</v>
      </c>
      <c r="M61">
        <v>60</v>
      </c>
      <c r="N61" s="6" t="str">
        <f t="shared" si="3"/>
        <v>Older Adults</v>
      </c>
      <c r="O61" s="6" t="s">
        <v>25</v>
      </c>
      <c r="P61" s="6" t="s">
        <v>50</v>
      </c>
      <c r="Q61" t="s">
        <v>280</v>
      </c>
      <c r="R61" s="6" t="s">
        <v>52</v>
      </c>
      <c r="S61" s="6" t="s">
        <v>29</v>
      </c>
      <c r="T61" s="14">
        <v>4.07E-2</v>
      </c>
      <c r="U61">
        <v>4.07</v>
      </c>
      <c r="V61" t="str">
        <f>IF(fin_table[[#This Row],[Interest Rate(%)]]&gt;4,"high","low")</f>
        <v>high</v>
      </c>
      <c r="W61" s="5">
        <v>12984.42</v>
      </c>
      <c r="X61" s="5">
        <f>fin_table[[#This Row],[Interest Rate]]*fin_table[[#This Row],[Loan Amount]]</f>
        <v>528.46589400000005</v>
      </c>
      <c r="Y61">
        <v>28</v>
      </c>
      <c r="Z61" s="3">
        <v>306</v>
      </c>
      <c r="AA61" s="3" t="str">
        <f t="shared" si="4"/>
        <v>Poor</v>
      </c>
      <c r="AB61" s="3" cm="1">
        <f t="array" ref="AB61">_xlfn.IFS(fin_table[[#This Row],[Transaction Status]]="Failed", 1, fin_table[[#This Row],[Transaction Status]]="Completed",0,fin_table[[#This Row],[Transaction Status]]="Pending",2)</f>
        <v>1</v>
      </c>
      <c r="AC61" s="3" t="str">
        <f>IF(fin_table[[#This Row],[Loan Defaulters]]=1,"Default", "Good")</f>
        <v>Default</v>
      </c>
      <c r="AD61" s="3">
        <f t="shared" si="5"/>
        <v>1</v>
      </c>
      <c r="AE61" s="4">
        <v>8989.43</v>
      </c>
      <c r="AF61" s="4" t="str">
        <f>IF(fin_table[[#This Row],[Monthly Income]]&lt;3000, "Low Income", IF(fin_table[[#This Row],[Monthly Income]]&lt;=5000, "Middle Income", "High Income"))</f>
        <v>High Income</v>
      </c>
      <c r="AG61" t="s">
        <v>30</v>
      </c>
      <c r="AH61" t="s">
        <v>3636</v>
      </c>
      <c r="AI61" t="str">
        <f t="shared" si="6"/>
        <v>Low-Risk</v>
      </c>
    </row>
    <row r="62" spans="1:35" x14ac:dyDescent="0.35">
      <c r="A62" t="s">
        <v>281</v>
      </c>
      <c r="B62" t="s">
        <v>282</v>
      </c>
      <c r="C62" t="s">
        <v>283</v>
      </c>
      <c r="D62" s="1">
        <v>44954</v>
      </c>
      <c r="E62" s="1" t="str">
        <f t="shared" si="0"/>
        <v>28</v>
      </c>
      <c r="F62" s="1" t="str">
        <f t="shared" si="1"/>
        <v>Jan</v>
      </c>
      <c r="G62" s="6" t="s">
        <v>23</v>
      </c>
      <c r="H62" s="5">
        <v>3217.7</v>
      </c>
      <c r="I62" s="5" t="str">
        <f>IF(fin_table[[#This Row],[Account Balance]]&lt;20000,"Active", "Not Active")</f>
        <v>Active</v>
      </c>
      <c r="J62" s="5">
        <v>1563.13</v>
      </c>
      <c r="K62" s="5" t="str">
        <f t="shared" si="2"/>
        <v>Low</v>
      </c>
      <c r="L62" s="6" t="s">
        <v>24</v>
      </c>
      <c r="M62">
        <v>43</v>
      </c>
      <c r="N62" s="6" t="str">
        <f t="shared" si="3"/>
        <v>Middle-Aged</v>
      </c>
      <c r="O62" s="6" t="s">
        <v>25</v>
      </c>
      <c r="P62" s="6" t="s">
        <v>36</v>
      </c>
      <c r="Q62" t="s">
        <v>284</v>
      </c>
      <c r="R62" s="6" t="s">
        <v>52</v>
      </c>
      <c r="S62" s="6" t="s">
        <v>44</v>
      </c>
      <c r="T62" s="14">
        <v>4.8399999999999999E-2</v>
      </c>
      <c r="U62">
        <v>4.84</v>
      </c>
      <c r="V62" t="str">
        <f>IF(fin_table[[#This Row],[Interest Rate(%)]]&gt;4,"high","low")</f>
        <v>high</v>
      </c>
      <c r="W62" s="5">
        <v>26486.959999999999</v>
      </c>
      <c r="X62" s="5">
        <f>fin_table[[#This Row],[Interest Rate]]*fin_table[[#This Row],[Loan Amount]]</f>
        <v>1281.9688639999999</v>
      </c>
      <c r="Y62">
        <v>13</v>
      </c>
      <c r="Z62" s="3">
        <v>814</v>
      </c>
      <c r="AA62" s="3" t="str">
        <f t="shared" si="4"/>
        <v>Excellent</v>
      </c>
      <c r="AB62" s="3" cm="1">
        <f t="array" ref="AB62">_xlfn.IFS(fin_table[[#This Row],[Transaction Status]]="Failed", 1, fin_table[[#This Row],[Transaction Status]]="Completed",0,fin_table[[#This Row],[Transaction Status]]="Pending",2)</f>
        <v>0</v>
      </c>
      <c r="AC62" s="3" t="str">
        <f>IF(fin_table[[#This Row],[Loan Defaulters]]=1,"Default", "Good")</f>
        <v>Good</v>
      </c>
      <c r="AD62" s="3">
        <f t="shared" si="5"/>
        <v>5</v>
      </c>
      <c r="AE62" s="4">
        <v>9710.3799999999992</v>
      </c>
      <c r="AF62" s="4" t="str">
        <f>IF(fin_table[[#This Row],[Monthly Income]]&lt;3000, "Low Income", IF(fin_table[[#This Row],[Monthly Income]]&lt;=5000, "Middle Income", "High Income"))</f>
        <v>High Income</v>
      </c>
      <c r="AG62" t="s">
        <v>30</v>
      </c>
      <c r="AH62" t="s">
        <v>3636</v>
      </c>
      <c r="AI62" t="str">
        <f t="shared" si="6"/>
        <v>Low-Risk</v>
      </c>
    </row>
    <row r="63" spans="1:35" x14ac:dyDescent="0.35">
      <c r="A63" t="s">
        <v>285</v>
      </c>
      <c r="B63" t="s">
        <v>286</v>
      </c>
      <c r="C63" t="s">
        <v>287</v>
      </c>
      <c r="D63" s="1">
        <v>44623</v>
      </c>
      <c r="E63" s="1" t="str">
        <f t="shared" si="0"/>
        <v>03</v>
      </c>
      <c r="F63" s="1" t="str">
        <f t="shared" si="1"/>
        <v>Mar</v>
      </c>
      <c r="G63" s="6" t="s">
        <v>23</v>
      </c>
      <c r="H63" s="5">
        <v>137.79</v>
      </c>
      <c r="I63" s="5" t="str">
        <f>IF(fin_table[[#This Row],[Account Balance]]&lt;20000,"Active", "Not Active")</f>
        <v>Not Active</v>
      </c>
      <c r="J63" s="5">
        <v>21030.09</v>
      </c>
      <c r="K63" s="5" t="str">
        <f t="shared" si="2"/>
        <v>Medium</v>
      </c>
      <c r="L63" s="6" t="s">
        <v>125</v>
      </c>
      <c r="M63">
        <v>43</v>
      </c>
      <c r="N63" s="6" t="str">
        <f t="shared" si="3"/>
        <v>Middle-Aged</v>
      </c>
      <c r="O63" s="6" t="s">
        <v>25</v>
      </c>
      <c r="P63" s="6" t="s">
        <v>36</v>
      </c>
      <c r="Q63" t="s">
        <v>288</v>
      </c>
      <c r="R63" s="6" t="s">
        <v>28</v>
      </c>
      <c r="S63" s="6" t="s">
        <v>44</v>
      </c>
      <c r="T63" s="47">
        <v>0.03</v>
      </c>
      <c r="U63">
        <v>0.03</v>
      </c>
      <c r="V63" t="str">
        <f>IF(fin_table[[#This Row],[Interest Rate(%)]]&gt;4,"high","low")</f>
        <v>low</v>
      </c>
      <c r="W63" s="5">
        <v>26681.654999999999</v>
      </c>
      <c r="X63" s="5">
        <f>fin_table[[#This Row],[Interest Rate]]*fin_table[[#This Row],[Loan Amount]]</f>
        <v>800.44964999999991</v>
      </c>
      <c r="Y63">
        <v>16</v>
      </c>
      <c r="Z63" s="3">
        <v>372</v>
      </c>
      <c r="AA63" s="3" t="str">
        <f t="shared" si="4"/>
        <v>Poor</v>
      </c>
      <c r="AB63" s="3" cm="1">
        <f t="array" ref="AB63">_xlfn.IFS(fin_table[[#This Row],[Transaction Status]]="Failed", 1, fin_table[[#This Row],[Transaction Status]]="Completed",0,fin_table[[#This Row],[Transaction Status]]="Pending",2)</f>
        <v>0</v>
      </c>
      <c r="AC63" s="3" t="str">
        <f>IF(fin_table[[#This Row],[Loan Defaulters]]=1,"Default", "Good")</f>
        <v>Good</v>
      </c>
      <c r="AD63" s="3">
        <f t="shared" si="5"/>
        <v>1</v>
      </c>
      <c r="AE63" s="4">
        <v>9065.36</v>
      </c>
      <c r="AF63" s="4" t="str">
        <f>IF(fin_table[[#This Row],[Monthly Income]]&lt;3000, "Low Income", IF(fin_table[[#This Row],[Monthly Income]]&lt;=5000, "Middle Income", "High Income"))</f>
        <v>High Income</v>
      </c>
      <c r="AG63" t="s">
        <v>30</v>
      </c>
      <c r="AH63" t="s">
        <v>3635</v>
      </c>
      <c r="AI63" t="str">
        <f t="shared" si="6"/>
        <v>Low-Risk</v>
      </c>
    </row>
    <row r="64" spans="1:35" x14ac:dyDescent="0.35">
      <c r="A64" t="s">
        <v>289</v>
      </c>
      <c r="B64" t="s">
        <v>290</v>
      </c>
      <c r="C64" t="s">
        <v>291</v>
      </c>
      <c r="D64" s="1">
        <v>44698</v>
      </c>
      <c r="E64" s="1" t="str">
        <f t="shared" si="0"/>
        <v>17</v>
      </c>
      <c r="F64" s="1" t="str">
        <f t="shared" si="1"/>
        <v>May</v>
      </c>
      <c r="G64" s="6" t="s">
        <v>71</v>
      </c>
      <c r="H64" s="5">
        <v>6848.53</v>
      </c>
      <c r="I64" s="5" t="str">
        <f>IF(fin_table[[#This Row],[Account Balance]]&lt;20000,"Active", "Not Active")</f>
        <v>Not Active</v>
      </c>
      <c r="J64" s="5">
        <v>46277.32</v>
      </c>
      <c r="K64" s="5" t="str">
        <f t="shared" si="2"/>
        <v>Medium</v>
      </c>
      <c r="L64" s="6" t="s">
        <v>100</v>
      </c>
      <c r="M64">
        <v>31</v>
      </c>
      <c r="N64" s="6" t="str">
        <f t="shared" si="3"/>
        <v>Adults</v>
      </c>
      <c r="O64" s="6" t="s">
        <v>42</v>
      </c>
      <c r="P64" s="6" t="s">
        <v>26</v>
      </c>
      <c r="Q64" t="s">
        <v>292</v>
      </c>
      <c r="R64" s="6" t="s">
        <v>38</v>
      </c>
      <c r="S64" s="6" t="s">
        <v>29</v>
      </c>
      <c r="T64" s="14">
        <v>1.4500000000000001E-2</v>
      </c>
      <c r="U64">
        <v>1.45</v>
      </c>
      <c r="V64" t="str">
        <f>IF(fin_table[[#This Row],[Interest Rate(%)]]&gt;4,"high","low")</f>
        <v>low</v>
      </c>
      <c r="W64" s="5">
        <v>27046.93</v>
      </c>
      <c r="X64" s="5">
        <f>fin_table[[#This Row],[Interest Rate]]*fin_table[[#This Row],[Loan Amount]]</f>
        <v>392.18048500000003</v>
      </c>
      <c r="Y64">
        <v>18</v>
      </c>
      <c r="Z64" s="3">
        <v>309</v>
      </c>
      <c r="AA64" s="3" t="str">
        <f t="shared" si="4"/>
        <v>Poor</v>
      </c>
      <c r="AB64" s="3" cm="1">
        <f t="array" ref="AB64">_xlfn.IFS(fin_table[[#This Row],[Transaction Status]]="Failed", 1, fin_table[[#This Row],[Transaction Status]]="Completed",0,fin_table[[#This Row],[Transaction Status]]="Pending",2)</f>
        <v>1</v>
      </c>
      <c r="AC64" s="3" t="str">
        <f>IF(fin_table[[#This Row],[Loan Defaulters]]=1,"Default", "Good")</f>
        <v>Default</v>
      </c>
      <c r="AD64" s="3">
        <f t="shared" si="5"/>
        <v>1</v>
      </c>
      <c r="AE64" s="4">
        <v>3287.73</v>
      </c>
      <c r="AF64" s="4" t="str">
        <f>IF(fin_table[[#This Row],[Monthly Income]]&lt;3000, "Low Income", IF(fin_table[[#This Row],[Monthly Income]]&lt;=5000, "Middle Income", "High Income"))</f>
        <v>Middle Income</v>
      </c>
      <c r="AG64" t="s">
        <v>30</v>
      </c>
      <c r="AH64" t="s">
        <v>3636</v>
      </c>
      <c r="AI64" t="str">
        <f t="shared" si="6"/>
        <v>Low-Risk</v>
      </c>
    </row>
    <row r="65" spans="1:35" x14ac:dyDescent="0.35">
      <c r="A65" t="s">
        <v>293</v>
      </c>
      <c r="B65" t="s">
        <v>294</v>
      </c>
      <c r="C65" t="s">
        <v>295</v>
      </c>
      <c r="D65" s="1">
        <v>44642</v>
      </c>
      <c r="E65" s="1" t="str">
        <f t="shared" si="0"/>
        <v>22</v>
      </c>
      <c r="F65" s="1" t="str">
        <f t="shared" si="1"/>
        <v>Mar</v>
      </c>
      <c r="G65" s="6" t="s">
        <v>71</v>
      </c>
      <c r="H65" s="5">
        <v>1754.61</v>
      </c>
      <c r="I65" s="5" t="str">
        <f>IF(fin_table[[#This Row],[Account Balance]]&lt;20000,"Active", "Not Active")</f>
        <v>Active</v>
      </c>
      <c r="J65" s="5">
        <v>6482.15</v>
      </c>
      <c r="K65" s="5" t="str">
        <f t="shared" si="2"/>
        <v>Low</v>
      </c>
      <c r="L65" s="6" t="s">
        <v>100</v>
      </c>
      <c r="M65">
        <v>24</v>
      </c>
      <c r="N65" s="6" t="str">
        <f t="shared" si="3"/>
        <v>Young Adults</v>
      </c>
      <c r="O65" s="6" t="s">
        <v>42</v>
      </c>
      <c r="P65" s="6" t="s">
        <v>26</v>
      </c>
      <c r="Q65" t="s">
        <v>296</v>
      </c>
      <c r="R65" s="6" t="s">
        <v>38</v>
      </c>
      <c r="S65" s="6" t="s">
        <v>44</v>
      </c>
      <c r="T65" s="14">
        <v>2.76E-2</v>
      </c>
      <c r="U65">
        <v>2.76</v>
      </c>
      <c r="V65" t="str">
        <f>IF(fin_table[[#This Row],[Interest Rate(%)]]&gt;4,"high","low")</f>
        <v>low</v>
      </c>
      <c r="W65" s="5">
        <v>29244.77</v>
      </c>
      <c r="X65" s="5">
        <f>fin_table[[#This Row],[Interest Rate]]*fin_table[[#This Row],[Loan Amount]]</f>
        <v>807.15565200000003</v>
      </c>
      <c r="Y65">
        <v>13</v>
      </c>
      <c r="Z65" s="3">
        <v>421</v>
      </c>
      <c r="AA65" s="3" t="str">
        <f t="shared" si="4"/>
        <v>Poor</v>
      </c>
      <c r="AB65" s="3" cm="1">
        <f t="array" ref="AB65">_xlfn.IFS(fin_table[[#This Row],[Transaction Status]]="Failed", 1, fin_table[[#This Row],[Transaction Status]]="Completed",0,fin_table[[#This Row],[Transaction Status]]="Pending",2)</f>
        <v>0</v>
      </c>
      <c r="AC65" s="3" t="str">
        <f>IF(fin_table[[#This Row],[Loan Defaulters]]=1,"Default", "Good")</f>
        <v>Good</v>
      </c>
      <c r="AD65" s="3">
        <f t="shared" si="5"/>
        <v>1</v>
      </c>
      <c r="AE65" s="4">
        <v>6144.38</v>
      </c>
      <c r="AF65" s="4" t="str">
        <f>IF(fin_table[[#This Row],[Monthly Income]]&lt;3000, "Low Income", IF(fin_table[[#This Row],[Monthly Income]]&lt;=5000, "Middle Income", "High Income"))</f>
        <v>High Income</v>
      </c>
      <c r="AG65" t="s">
        <v>63</v>
      </c>
      <c r="AH65" t="s">
        <v>3636</v>
      </c>
      <c r="AI65" t="str">
        <f t="shared" si="6"/>
        <v>Low-Risk</v>
      </c>
    </row>
    <row r="66" spans="1:35" x14ac:dyDescent="0.35">
      <c r="A66" t="s">
        <v>297</v>
      </c>
      <c r="B66" t="s">
        <v>298</v>
      </c>
      <c r="C66" t="s">
        <v>299</v>
      </c>
      <c r="D66" s="1">
        <v>44619</v>
      </c>
      <c r="E66" s="1" t="str">
        <f t="shared" ref="E66:E129" si="7">TEXT(D66, "DD")</f>
        <v>27</v>
      </c>
      <c r="F66" s="1" t="str">
        <f t="shared" ref="F66:F129" si="8">TEXT(D66, "MMM")</f>
        <v>Feb</v>
      </c>
      <c r="G66" s="6" t="s">
        <v>34</v>
      </c>
      <c r="H66" s="5">
        <v>6587.3</v>
      </c>
      <c r="I66" s="5" t="str">
        <f>IF(fin_table[[#This Row],[Account Balance]]&lt;20000,"Active", "Not Active")</f>
        <v>Not Active</v>
      </c>
      <c r="J66" s="5">
        <v>26304.799999999999</v>
      </c>
      <c r="K66" s="5" t="str">
        <f t="shared" ref="K66:K129" si="9">IF(J66&lt;10000, "Low", IF(J66&lt;50000, "Medium", "High"))</f>
        <v>Medium</v>
      </c>
      <c r="L66" s="6" t="s">
        <v>24</v>
      </c>
      <c r="M66">
        <v>50</v>
      </c>
      <c r="N66" s="6" t="str">
        <f t="shared" ref="N66:N129" si="10">IF(M66&lt;18, "Teenagers", IF(M66&lt;=25, "Young Adults", IF(M66&lt;=35, "Adults", IF(M66&lt;=45, "Middle-Aged", IF(M66&lt;=60, "Older Adults", "Seniors")))))</f>
        <v>Older Adults</v>
      </c>
      <c r="O66" s="6" t="s">
        <v>42</v>
      </c>
      <c r="P66" s="6" t="s">
        <v>36</v>
      </c>
      <c r="Q66" t="s">
        <v>300</v>
      </c>
      <c r="R66" s="6" t="s">
        <v>52</v>
      </c>
      <c r="S66" s="6" t="s">
        <v>62</v>
      </c>
      <c r="T66" s="14">
        <v>2.92E-2</v>
      </c>
      <c r="U66">
        <v>2.92</v>
      </c>
      <c r="V66" t="str">
        <f>IF(fin_table[[#This Row],[Interest Rate(%)]]&gt;4,"high","low")</f>
        <v>low</v>
      </c>
      <c r="W66" s="5">
        <v>16594.57</v>
      </c>
      <c r="X66" s="5">
        <f>fin_table[[#This Row],[Interest Rate]]*fin_table[[#This Row],[Loan Amount]]</f>
        <v>484.56144399999999</v>
      </c>
      <c r="Y66">
        <v>10</v>
      </c>
      <c r="Z66" s="3">
        <v>812</v>
      </c>
      <c r="AA66" s="3" t="str">
        <f t="shared" ref="AA66:AA129" si="11">IF(Z66&lt;580, "Poor", IF(Z66&lt;670, "Fair", IF(Z66&lt;740, "Good", IF(Z66&lt;800, "Very Good", "Excellent"))))</f>
        <v>Excellent</v>
      </c>
      <c r="AB66" s="3" cm="1">
        <f t="array" ref="AB66">_xlfn.IFS(fin_table[[#This Row],[Transaction Status]]="Failed", 1, fin_table[[#This Row],[Transaction Status]]="Completed",0,fin_table[[#This Row],[Transaction Status]]="Pending",2)</f>
        <v>2</v>
      </c>
      <c r="AC66" s="3" t="str">
        <f>IF(fin_table[[#This Row],[Loan Defaulters]]=1,"Default", "Good")</f>
        <v>Good</v>
      </c>
      <c r="AD66" s="3">
        <f t="shared" ref="AD66:AD129" si="12">IF(AA66="Poor", 1, IF(AA66="Fair", 2, IF(AA66="Good", 3, IF(AA66="Very Good", 4, IF(AA66="Excellent", 5, "")))))</f>
        <v>5</v>
      </c>
      <c r="AE66" s="4">
        <v>2666.51</v>
      </c>
      <c r="AF66" s="4" t="str">
        <f>IF(fin_table[[#This Row],[Monthly Income]]&lt;3000, "Low Income", IF(fin_table[[#This Row],[Monthly Income]]&lt;=5000, "Middle Income", "High Income"))</f>
        <v>Low Income</v>
      </c>
      <c r="AG66" t="s">
        <v>45</v>
      </c>
      <c r="AH66" t="s">
        <v>3636</v>
      </c>
      <c r="AI66" t="str">
        <f t="shared" ref="AI66:AI129" si="13">IF(AND(W66&gt;33000, Z66&lt;600), "High-Risk", "Low-Risk")</f>
        <v>Low-Risk</v>
      </c>
    </row>
    <row r="67" spans="1:35" x14ac:dyDescent="0.35">
      <c r="A67" t="s">
        <v>301</v>
      </c>
      <c r="B67" t="s">
        <v>302</v>
      </c>
      <c r="C67" t="s">
        <v>303</v>
      </c>
      <c r="D67" s="1">
        <v>44807</v>
      </c>
      <c r="E67" s="1" t="str">
        <f t="shared" si="7"/>
        <v>03</v>
      </c>
      <c r="F67" s="1" t="str">
        <f t="shared" si="8"/>
        <v>Sep</v>
      </c>
      <c r="G67" s="6" t="s">
        <v>71</v>
      </c>
      <c r="H67" s="5">
        <v>9918.25</v>
      </c>
      <c r="I67" s="5" t="str">
        <f>IF(fin_table[[#This Row],[Account Balance]]&lt;20000,"Active", "Not Active")</f>
        <v>Not Active</v>
      </c>
      <c r="J67" s="5">
        <v>39539.599999999999</v>
      </c>
      <c r="K67" s="5" t="str">
        <f t="shared" si="9"/>
        <v>Medium</v>
      </c>
      <c r="L67" s="6" t="s">
        <v>24</v>
      </c>
      <c r="M67">
        <v>43</v>
      </c>
      <c r="N67" s="6" t="str">
        <f t="shared" si="10"/>
        <v>Middle-Aged</v>
      </c>
      <c r="O67" s="6" t="s">
        <v>25</v>
      </c>
      <c r="P67" s="6" t="s">
        <v>50</v>
      </c>
      <c r="Q67" t="s">
        <v>304</v>
      </c>
      <c r="R67" s="6" t="s">
        <v>28</v>
      </c>
      <c r="S67" s="6" t="s">
        <v>62</v>
      </c>
      <c r="T67" s="14">
        <v>4.5900000000000003E-2</v>
      </c>
      <c r="U67">
        <v>4.59</v>
      </c>
      <c r="V67" t="str">
        <f>IF(fin_table[[#This Row],[Interest Rate(%)]]&gt;4,"high","low")</f>
        <v>high</v>
      </c>
      <c r="W67" s="5">
        <v>21480.85</v>
      </c>
      <c r="X67" s="5">
        <f>fin_table[[#This Row],[Interest Rate]]*fin_table[[#This Row],[Loan Amount]]</f>
        <v>985.97101499999997</v>
      </c>
      <c r="Y67">
        <v>16</v>
      </c>
      <c r="Z67" s="3">
        <v>740</v>
      </c>
      <c r="AA67" s="3" t="str">
        <f t="shared" si="11"/>
        <v>Very Good</v>
      </c>
      <c r="AB67" s="3" cm="1">
        <f t="array" ref="AB67">_xlfn.IFS(fin_table[[#This Row],[Transaction Status]]="Failed", 1, fin_table[[#This Row],[Transaction Status]]="Completed",0,fin_table[[#This Row],[Transaction Status]]="Pending",2)</f>
        <v>2</v>
      </c>
      <c r="AC67" s="3" t="str">
        <f>IF(fin_table[[#This Row],[Loan Defaulters]]=1,"Default", "Good")</f>
        <v>Good</v>
      </c>
      <c r="AD67" s="3">
        <f t="shared" si="12"/>
        <v>4</v>
      </c>
      <c r="AE67" s="4">
        <v>7143.71</v>
      </c>
      <c r="AF67" s="4" t="str">
        <f>IF(fin_table[[#This Row],[Monthly Income]]&lt;3000, "Low Income", IF(fin_table[[#This Row],[Monthly Income]]&lt;=5000, "Middle Income", "High Income"))</f>
        <v>High Income</v>
      </c>
      <c r="AG67" t="s">
        <v>63</v>
      </c>
      <c r="AH67" t="s">
        <v>3636</v>
      </c>
      <c r="AI67" t="str">
        <f t="shared" si="13"/>
        <v>Low-Risk</v>
      </c>
    </row>
    <row r="68" spans="1:35" x14ac:dyDescent="0.35">
      <c r="A68" t="s">
        <v>305</v>
      </c>
      <c r="B68" t="s">
        <v>306</v>
      </c>
      <c r="C68" t="s">
        <v>307</v>
      </c>
      <c r="D68" s="1">
        <v>44759</v>
      </c>
      <c r="E68" s="1" t="str">
        <f t="shared" si="7"/>
        <v>17</v>
      </c>
      <c r="F68" s="1" t="str">
        <f t="shared" si="8"/>
        <v>Jul</v>
      </c>
      <c r="G68" s="6" t="s">
        <v>23</v>
      </c>
      <c r="H68" s="5">
        <v>819.44</v>
      </c>
      <c r="I68" s="5" t="str">
        <f>IF(fin_table[[#This Row],[Account Balance]]&lt;20000,"Active", "Not Active")</f>
        <v>Not Active</v>
      </c>
      <c r="J68" s="5">
        <v>47184.03</v>
      </c>
      <c r="K68" s="5" t="str">
        <f t="shared" si="9"/>
        <v>Medium</v>
      </c>
      <c r="L68" s="6" t="s">
        <v>125</v>
      </c>
      <c r="M68">
        <v>62</v>
      </c>
      <c r="N68" s="6" t="str">
        <f t="shared" si="10"/>
        <v>Seniors</v>
      </c>
      <c r="O68" s="6" t="s">
        <v>42</v>
      </c>
      <c r="P68" s="6" t="s">
        <v>50</v>
      </c>
      <c r="Q68" t="s">
        <v>308</v>
      </c>
      <c r="R68" s="6" t="s">
        <v>52</v>
      </c>
      <c r="S68" s="6" t="s">
        <v>44</v>
      </c>
      <c r="T68" s="14">
        <v>2.58E-2</v>
      </c>
      <c r="U68">
        <v>2.58</v>
      </c>
      <c r="V68" t="str">
        <f>IF(fin_table[[#This Row],[Interest Rate(%)]]&gt;4,"high","low")</f>
        <v>low</v>
      </c>
      <c r="W68" s="5">
        <v>26681.654999999999</v>
      </c>
      <c r="X68" s="5">
        <f>fin_table[[#This Row],[Interest Rate]]*fin_table[[#This Row],[Loan Amount]]</f>
        <v>688.38669900000002</v>
      </c>
      <c r="Y68">
        <v>23</v>
      </c>
      <c r="Z68" s="3">
        <v>337</v>
      </c>
      <c r="AA68" s="3" t="str">
        <f t="shared" si="11"/>
        <v>Poor</v>
      </c>
      <c r="AB68" s="3" cm="1">
        <f t="array" ref="AB68">_xlfn.IFS(fin_table[[#This Row],[Transaction Status]]="Failed", 1, fin_table[[#This Row],[Transaction Status]]="Completed",0,fin_table[[#This Row],[Transaction Status]]="Pending",2)</f>
        <v>0</v>
      </c>
      <c r="AC68" s="3" t="str">
        <f>IF(fin_table[[#This Row],[Loan Defaulters]]=1,"Default", "Good")</f>
        <v>Good</v>
      </c>
      <c r="AD68" s="3">
        <f t="shared" si="12"/>
        <v>1</v>
      </c>
      <c r="AE68" s="4">
        <v>4451.79</v>
      </c>
      <c r="AF68" s="4" t="str">
        <f>IF(fin_table[[#This Row],[Monthly Income]]&lt;3000, "Low Income", IF(fin_table[[#This Row],[Monthly Income]]&lt;=5000, "Middle Income", "High Income"))</f>
        <v>Middle Income</v>
      </c>
      <c r="AG68" t="s">
        <v>45</v>
      </c>
      <c r="AH68" t="s">
        <v>3635</v>
      </c>
      <c r="AI68" t="str">
        <f t="shared" si="13"/>
        <v>Low-Risk</v>
      </c>
    </row>
    <row r="69" spans="1:35" x14ac:dyDescent="0.35">
      <c r="A69" t="s">
        <v>309</v>
      </c>
      <c r="B69" t="s">
        <v>310</v>
      </c>
      <c r="C69" t="s">
        <v>311</v>
      </c>
      <c r="D69" s="1">
        <v>45126</v>
      </c>
      <c r="E69" s="1" t="str">
        <f t="shared" si="7"/>
        <v>19</v>
      </c>
      <c r="F69" s="1" t="str">
        <f t="shared" si="8"/>
        <v>Jul</v>
      </c>
      <c r="G69" s="6" t="s">
        <v>34</v>
      </c>
      <c r="H69" s="5">
        <v>863.07</v>
      </c>
      <c r="I69" s="5" t="str">
        <f>IF(fin_table[[#This Row],[Account Balance]]&lt;20000,"Active", "Not Active")</f>
        <v>Not Active</v>
      </c>
      <c r="J69" s="5">
        <v>37592.06</v>
      </c>
      <c r="K69" s="5" t="str">
        <f t="shared" si="9"/>
        <v>Medium</v>
      </c>
      <c r="L69" s="6" t="s">
        <v>125</v>
      </c>
      <c r="M69">
        <v>37</v>
      </c>
      <c r="N69" s="6" t="str">
        <f t="shared" si="10"/>
        <v>Middle-Aged</v>
      </c>
      <c r="O69" s="6" t="s">
        <v>25</v>
      </c>
      <c r="P69" s="6" t="s">
        <v>26</v>
      </c>
      <c r="Q69" t="s">
        <v>312</v>
      </c>
      <c r="R69" s="6" t="s">
        <v>28</v>
      </c>
      <c r="S69" s="6" t="s">
        <v>62</v>
      </c>
      <c r="T69" s="14">
        <v>4.8099999999999997E-2</v>
      </c>
      <c r="U69">
        <v>4.8099999999999996</v>
      </c>
      <c r="V69" t="str">
        <f>IF(fin_table[[#This Row],[Interest Rate(%)]]&gt;4,"high","low")</f>
        <v>high</v>
      </c>
      <c r="W69" s="5">
        <v>10900.45</v>
      </c>
      <c r="X69" s="5">
        <f>fin_table[[#This Row],[Interest Rate]]*fin_table[[#This Row],[Loan Amount]]</f>
        <v>524.311645</v>
      </c>
      <c r="Y69">
        <v>13</v>
      </c>
      <c r="Z69" s="3">
        <v>644</v>
      </c>
      <c r="AA69" s="3" t="str">
        <f t="shared" si="11"/>
        <v>Fair</v>
      </c>
      <c r="AB69" s="3" cm="1">
        <f t="array" ref="AB69">_xlfn.IFS(fin_table[[#This Row],[Transaction Status]]="Failed", 1, fin_table[[#This Row],[Transaction Status]]="Completed",0,fin_table[[#This Row],[Transaction Status]]="Pending",2)</f>
        <v>2</v>
      </c>
      <c r="AC69" s="3" t="str">
        <f>IF(fin_table[[#This Row],[Loan Defaulters]]=1,"Default", "Good")</f>
        <v>Good</v>
      </c>
      <c r="AD69" s="3">
        <f t="shared" si="12"/>
        <v>2</v>
      </c>
      <c r="AE69" s="4">
        <v>9301.2199999999993</v>
      </c>
      <c r="AF69" s="4" t="str">
        <f>IF(fin_table[[#This Row],[Monthly Income]]&lt;3000, "Low Income", IF(fin_table[[#This Row],[Monthly Income]]&lt;=5000, "Middle Income", "High Income"))</f>
        <v>High Income</v>
      </c>
      <c r="AG69" t="s">
        <v>30</v>
      </c>
      <c r="AH69" t="s">
        <v>3636</v>
      </c>
      <c r="AI69" t="str">
        <f t="shared" si="13"/>
        <v>Low-Risk</v>
      </c>
    </row>
    <row r="70" spans="1:35" x14ac:dyDescent="0.35">
      <c r="A70" t="s">
        <v>313</v>
      </c>
      <c r="B70" t="s">
        <v>314</v>
      </c>
      <c r="C70" t="s">
        <v>315</v>
      </c>
      <c r="D70" s="1">
        <v>44707</v>
      </c>
      <c r="E70" s="1" t="str">
        <f t="shared" si="7"/>
        <v>26</v>
      </c>
      <c r="F70" s="1" t="str">
        <f t="shared" si="8"/>
        <v>May</v>
      </c>
      <c r="G70" s="6" t="s">
        <v>34</v>
      </c>
      <c r="H70" s="5">
        <v>3469.76</v>
      </c>
      <c r="I70" s="5" t="str">
        <f>IF(fin_table[[#This Row],[Account Balance]]&lt;20000,"Active", "Not Active")</f>
        <v>Not Active</v>
      </c>
      <c r="J70" s="5">
        <v>36307.71</v>
      </c>
      <c r="K70" s="5" t="str">
        <f t="shared" si="9"/>
        <v>Medium</v>
      </c>
      <c r="L70" s="6" t="s">
        <v>35</v>
      </c>
      <c r="M70">
        <v>20</v>
      </c>
      <c r="N70" s="6" t="str">
        <f t="shared" si="10"/>
        <v>Young Adults</v>
      </c>
      <c r="O70" s="6" t="s">
        <v>25</v>
      </c>
      <c r="P70" s="6" t="s">
        <v>36</v>
      </c>
      <c r="Q70" t="s">
        <v>316</v>
      </c>
      <c r="R70" s="6" t="s">
        <v>52</v>
      </c>
      <c r="S70" s="6" t="s">
        <v>29</v>
      </c>
      <c r="T70" s="14">
        <v>2.9399999999999999E-2</v>
      </c>
      <c r="U70">
        <v>2.94</v>
      </c>
      <c r="V70" t="str">
        <f>IF(fin_table[[#This Row],[Interest Rate(%)]]&gt;4,"high","low")</f>
        <v>low</v>
      </c>
      <c r="W70" s="5">
        <v>25491.39</v>
      </c>
      <c r="X70" s="5">
        <f>fin_table[[#This Row],[Interest Rate]]*fin_table[[#This Row],[Loan Amount]]</f>
        <v>749.446866</v>
      </c>
      <c r="Y70">
        <v>11</v>
      </c>
      <c r="Z70" s="3">
        <v>637</v>
      </c>
      <c r="AA70" s="3" t="str">
        <f t="shared" si="11"/>
        <v>Fair</v>
      </c>
      <c r="AB70" s="3" cm="1">
        <f t="array" ref="AB70">_xlfn.IFS(fin_table[[#This Row],[Transaction Status]]="Failed", 1, fin_table[[#This Row],[Transaction Status]]="Completed",0,fin_table[[#This Row],[Transaction Status]]="Pending",2)</f>
        <v>1</v>
      </c>
      <c r="AC70" s="3" t="str">
        <f>IF(fin_table[[#This Row],[Loan Defaulters]]=1,"Default", "Good")</f>
        <v>Default</v>
      </c>
      <c r="AD70" s="3">
        <f t="shared" si="12"/>
        <v>2</v>
      </c>
      <c r="AE70" s="4">
        <v>11006.51</v>
      </c>
      <c r="AF70" s="4" t="str">
        <f>IF(fin_table[[#This Row],[Monthly Income]]&lt;3000, "Low Income", IF(fin_table[[#This Row],[Monthly Income]]&lt;=5000, "Middle Income", "High Income"))</f>
        <v>High Income</v>
      </c>
      <c r="AG70" t="s">
        <v>30</v>
      </c>
      <c r="AH70" t="s">
        <v>3636</v>
      </c>
      <c r="AI70" t="str">
        <f t="shared" si="13"/>
        <v>Low-Risk</v>
      </c>
    </row>
    <row r="71" spans="1:35" x14ac:dyDescent="0.35">
      <c r="A71" t="s">
        <v>317</v>
      </c>
      <c r="B71" t="s">
        <v>318</v>
      </c>
      <c r="C71" t="s">
        <v>319</v>
      </c>
      <c r="D71" s="1">
        <v>44857</v>
      </c>
      <c r="E71" s="1" t="str">
        <f t="shared" si="7"/>
        <v>23</v>
      </c>
      <c r="F71" s="1" t="str">
        <f t="shared" si="8"/>
        <v>Oct</v>
      </c>
      <c r="G71" s="6" t="s">
        <v>34</v>
      </c>
      <c r="H71" s="5">
        <v>8677.23</v>
      </c>
      <c r="I71" s="5" t="str">
        <f>IF(fin_table[[#This Row],[Account Balance]]&lt;20000,"Active", "Not Active")</f>
        <v>Not Active</v>
      </c>
      <c r="J71" s="5">
        <v>41497.919999999998</v>
      </c>
      <c r="K71" s="5" t="str">
        <f t="shared" si="9"/>
        <v>Medium</v>
      </c>
      <c r="L71" s="6" t="s">
        <v>49</v>
      </c>
      <c r="M71">
        <v>69</v>
      </c>
      <c r="N71" s="6" t="str">
        <f t="shared" si="10"/>
        <v>Seniors</v>
      </c>
      <c r="O71" s="6" t="s">
        <v>42</v>
      </c>
      <c r="P71" s="6" t="s">
        <v>50</v>
      </c>
      <c r="Q71" t="s">
        <v>320</v>
      </c>
      <c r="R71" s="6" t="s">
        <v>28</v>
      </c>
      <c r="S71" s="6" t="s">
        <v>62</v>
      </c>
      <c r="T71" s="14">
        <v>4.9000000000000002E-2</v>
      </c>
      <c r="U71">
        <v>4.9000000000000002E-2</v>
      </c>
      <c r="V71" t="str">
        <f>IF(fin_table[[#This Row],[Interest Rate(%)]]&gt;4,"high","low")</f>
        <v>low</v>
      </c>
      <c r="W71" s="5">
        <v>26681.654999999999</v>
      </c>
      <c r="X71" s="5">
        <f>fin_table[[#This Row],[Interest Rate]]*fin_table[[#This Row],[Loan Amount]]</f>
        <v>1307.4010949999999</v>
      </c>
      <c r="Y71">
        <v>13</v>
      </c>
      <c r="Z71" s="3">
        <v>483</v>
      </c>
      <c r="AA71" s="3" t="str">
        <f t="shared" si="11"/>
        <v>Poor</v>
      </c>
      <c r="AB71" s="3" cm="1">
        <f t="array" ref="AB71">_xlfn.IFS(fin_table[[#This Row],[Transaction Status]]="Failed", 1, fin_table[[#This Row],[Transaction Status]]="Completed",0,fin_table[[#This Row],[Transaction Status]]="Pending",2)</f>
        <v>2</v>
      </c>
      <c r="AC71" s="3" t="str">
        <f>IF(fin_table[[#This Row],[Loan Defaulters]]=1,"Default", "Good")</f>
        <v>Good</v>
      </c>
      <c r="AD71" s="3">
        <f t="shared" si="12"/>
        <v>1</v>
      </c>
      <c r="AE71" s="4">
        <v>8917.56</v>
      </c>
      <c r="AF71" s="4" t="str">
        <f>IF(fin_table[[#This Row],[Monthly Income]]&lt;3000, "Low Income", IF(fin_table[[#This Row],[Monthly Income]]&lt;=5000, "Middle Income", "High Income"))</f>
        <v>High Income</v>
      </c>
      <c r="AG71" t="s">
        <v>45</v>
      </c>
      <c r="AH71" t="s">
        <v>3635</v>
      </c>
      <c r="AI71" t="str">
        <f t="shared" si="13"/>
        <v>Low-Risk</v>
      </c>
    </row>
    <row r="72" spans="1:35" x14ac:dyDescent="0.35">
      <c r="A72" t="s">
        <v>321</v>
      </c>
      <c r="B72" t="s">
        <v>322</v>
      </c>
      <c r="C72" t="s">
        <v>323</v>
      </c>
      <c r="D72" s="1">
        <v>44658</v>
      </c>
      <c r="E72" s="1" t="str">
        <f t="shared" si="7"/>
        <v>07</v>
      </c>
      <c r="F72" s="1" t="str">
        <f t="shared" si="8"/>
        <v>Apr</v>
      </c>
      <c r="G72" s="6" t="s">
        <v>23</v>
      </c>
      <c r="H72" s="5">
        <v>2233.75</v>
      </c>
      <c r="I72" s="5" t="str">
        <f>IF(fin_table[[#This Row],[Account Balance]]&lt;20000,"Active", "Not Active")</f>
        <v>Not Active</v>
      </c>
      <c r="J72" s="5">
        <v>22863.86</v>
      </c>
      <c r="K72" s="5" t="str">
        <f t="shared" si="9"/>
        <v>Medium</v>
      </c>
      <c r="L72" s="6" t="s">
        <v>125</v>
      </c>
      <c r="M72">
        <v>21</v>
      </c>
      <c r="N72" s="6" t="str">
        <f t="shared" si="10"/>
        <v>Young Adults</v>
      </c>
      <c r="O72" s="6" t="s">
        <v>25</v>
      </c>
      <c r="P72" s="6" t="s">
        <v>50</v>
      </c>
      <c r="Q72" t="s">
        <v>324</v>
      </c>
      <c r="R72" s="6" t="s">
        <v>28</v>
      </c>
      <c r="S72" s="6" t="s">
        <v>44</v>
      </c>
      <c r="T72" s="14">
        <v>1.03E-2</v>
      </c>
      <c r="U72">
        <v>1.03</v>
      </c>
      <c r="V72" t="str">
        <f>IF(fin_table[[#This Row],[Interest Rate(%)]]&gt;4,"high","low")</f>
        <v>low</v>
      </c>
      <c r="W72" s="5">
        <v>26681.654999999999</v>
      </c>
      <c r="X72" s="5">
        <f>fin_table[[#This Row],[Interest Rate]]*fin_table[[#This Row],[Loan Amount]]</f>
        <v>274.82104649999997</v>
      </c>
      <c r="Y72">
        <v>1</v>
      </c>
      <c r="Z72" s="3">
        <v>366</v>
      </c>
      <c r="AA72" s="3" t="str">
        <f t="shared" si="11"/>
        <v>Poor</v>
      </c>
      <c r="AB72" s="3" cm="1">
        <f t="array" ref="AB72">_xlfn.IFS(fin_table[[#This Row],[Transaction Status]]="Failed", 1, fin_table[[#This Row],[Transaction Status]]="Completed",0,fin_table[[#This Row],[Transaction Status]]="Pending",2)</f>
        <v>0</v>
      </c>
      <c r="AC72" s="3" t="str">
        <f>IF(fin_table[[#This Row],[Loan Defaulters]]=1,"Default", "Good")</f>
        <v>Good</v>
      </c>
      <c r="AD72" s="3">
        <f t="shared" si="12"/>
        <v>1</v>
      </c>
      <c r="AE72" s="4">
        <v>7645.08</v>
      </c>
      <c r="AF72" s="4" t="str">
        <f>IF(fin_table[[#This Row],[Monthly Income]]&lt;3000, "Low Income", IF(fin_table[[#This Row],[Monthly Income]]&lt;=5000, "Middle Income", "High Income"))</f>
        <v>High Income</v>
      </c>
      <c r="AG72" t="s">
        <v>45</v>
      </c>
      <c r="AH72" t="s">
        <v>3635</v>
      </c>
      <c r="AI72" t="str">
        <f t="shared" si="13"/>
        <v>Low-Risk</v>
      </c>
    </row>
    <row r="73" spans="1:35" x14ac:dyDescent="0.35">
      <c r="A73" t="s">
        <v>325</v>
      </c>
      <c r="B73" t="s">
        <v>326</v>
      </c>
      <c r="C73" t="s">
        <v>327</v>
      </c>
      <c r="D73" s="1">
        <v>44883</v>
      </c>
      <c r="E73" s="1" t="str">
        <f t="shared" si="7"/>
        <v>18</v>
      </c>
      <c r="F73" s="1" t="str">
        <f t="shared" si="8"/>
        <v>Nov</v>
      </c>
      <c r="G73" s="6" t="s">
        <v>56</v>
      </c>
      <c r="H73" s="5">
        <v>3667.74</v>
      </c>
      <c r="I73" s="5" t="str">
        <f>IF(fin_table[[#This Row],[Account Balance]]&lt;20000,"Active", "Not Active")</f>
        <v>Not Active</v>
      </c>
      <c r="J73" s="5">
        <v>40486.379999999997</v>
      </c>
      <c r="K73" s="5" t="str">
        <f t="shared" si="9"/>
        <v>Medium</v>
      </c>
      <c r="L73" s="6" t="s">
        <v>24</v>
      </c>
      <c r="M73">
        <v>43</v>
      </c>
      <c r="N73" s="6" t="str">
        <f t="shared" si="10"/>
        <v>Middle-Aged</v>
      </c>
      <c r="O73" s="6" t="s">
        <v>25</v>
      </c>
      <c r="P73" s="6" t="s">
        <v>26</v>
      </c>
      <c r="Q73" t="s">
        <v>328</v>
      </c>
      <c r="R73" s="6" t="s">
        <v>38</v>
      </c>
      <c r="S73" s="6" t="s">
        <v>29</v>
      </c>
      <c r="T73" s="14">
        <v>4.5999999999999999E-2</v>
      </c>
      <c r="U73">
        <v>4.5999999999999999E-2</v>
      </c>
      <c r="V73" t="str">
        <f>IF(fin_table[[#This Row],[Interest Rate(%)]]&gt;4,"high","low")</f>
        <v>low</v>
      </c>
      <c r="W73" s="5">
        <v>26681.654999999999</v>
      </c>
      <c r="X73" s="5">
        <f>fin_table[[#This Row],[Interest Rate]]*fin_table[[#This Row],[Loan Amount]]</f>
        <v>1227.3561299999999</v>
      </c>
      <c r="Y73">
        <v>29</v>
      </c>
      <c r="Z73" s="3">
        <v>316</v>
      </c>
      <c r="AA73" s="3" t="str">
        <f t="shared" si="11"/>
        <v>Poor</v>
      </c>
      <c r="AB73" s="3" cm="1">
        <f t="array" ref="AB73">_xlfn.IFS(fin_table[[#This Row],[Transaction Status]]="Failed", 1, fin_table[[#This Row],[Transaction Status]]="Completed",0,fin_table[[#This Row],[Transaction Status]]="Pending",2)</f>
        <v>1</v>
      </c>
      <c r="AC73" s="3" t="str">
        <f>IF(fin_table[[#This Row],[Loan Defaulters]]=1,"Default", "Good")</f>
        <v>Default</v>
      </c>
      <c r="AD73" s="3">
        <f t="shared" si="12"/>
        <v>1</v>
      </c>
      <c r="AE73" s="4">
        <v>7035.33</v>
      </c>
      <c r="AF73" s="4" t="str">
        <f>IF(fin_table[[#This Row],[Monthly Income]]&lt;3000, "Low Income", IF(fin_table[[#This Row],[Monthly Income]]&lt;=5000, "Middle Income", "High Income"))</f>
        <v>High Income</v>
      </c>
      <c r="AG73" t="s">
        <v>63</v>
      </c>
      <c r="AH73" t="s">
        <v>3635</v>
      </c>
      <c r="AI73" t="str">
        <f t="shared" si="13"/>
        <v>Low-Risk</v>
      </c>
    </row>
    <row r="74" spans="1:35" x14ac:dyDescent="0.35">
      <c r="A74" t="s">
        <v>329</v>
      </c>
      <c r="B74" t="s">
        <v>330</v>
      </c>
      <c r="C74" t="s">
        <v>331</v>
      </c>
      <c r="D74" s="1">
        <v>44575</v>
      </c>
      <c r="E74" s="1" t="str">
        <f t="shared" si="7"/>
        <v>14</v>
      </c>
      <c r="F74" s="1" t="str">
        <f t="shared" si="8"/>
        <v>Jan</v>
      </c>
      <c r="G74" s="6" t="s">
        <v>23</v>
      </c>
      <c r="H74" s="5">
        <v>778.2</v>
      </c>
      <c r="I74" s="5" t="str">
        <f>IF(fin_table[[#This Row],[Account Balance]]&lt;20000,"Active", "Not Active")</f>
        <v>Active</v>
      </c>
      <c r="J74" s="5">
        <v>1390.26</v>
      </c>
      <c r="K74" s="5" t="str">
        <f t="shared" si="9"/>
        <v>Low</v>
      </c>
      <c r="L74" s="6" t="s">
        <v>125</v>
      </c>
      <c r="M74">
        <v>28</v>
      </c>
      <c r="N74" s="6" t="str">
        <f t="shared" si="10"/>
        <v>Adults</v>
      </c>
      <c r="O74" s="6" t="s">
        <v>25</v>
      </c>
      <c r="P74" s="6" t="s">
        <v>36</v>
      </c>
      <c r="Q74" t="s">
        <v>332</v>
      </c>
      <c r="R74" s="6" t="s">
        <v>52</v>
      </c>
      <c r="S74" s="6" t="s">
        <v>62</v>
      </c>
      <c r="T74" s="14">
        <v>4.7199999999999999E-2</v>
      </c>
      <c r="U74">
        <v>4.72</v>
      </c>
      <c r="V74" t="str">
        <f>IF(fin_table[[#This Row],[Interest Rate(%)]]&gt;4,"high","low")</f>
        <v>high</v>
      </c>
      <c r="W74" s="5">
        <v>28346.37</v>
      </c>
      <c r="X74" s="5">
        <f>fin_table[[#This Row],[Interest Rate]]*fin_table[[#This Row],[Loan Amount]]</f>
        <v>1337.948664</v>
      </c>
      <c r="Y74">
        <v>13</v>
      </c>
      <c r="Z74" s="3">
        <v>682</v>
      </c>
      <c r="AA74" s="3" t="str">
        <f t="shared" si="11"/>
        <v>Good</v>
      </c>
      <c r="AB74" s="3" cm="1">
        <f t="array" ref="AB74">_xlfn.IFS(fin_table[[#This Row],[Transaction Status]]="Failed", 1, fin_table[[#This Row],[Transaction Status]]="Completed",0,fin_table[[#This Row],[Transaction Status]]="Pending",2)</f>
        <v>2</v>
      </c>
      <c r="AC74" s="3" t="str">
        <f>IF(fin_table[[#This Row],[Loan Defaulters]]=1,"Default", "Good")</f>
        <v>Good</v>
      </c>
      <c r="AD74" s="3">
        <f t="shared" si="12"/>
        <v>3</v>
      </c>
      <c r="AE74" s="4">
        <v>12941.99</v>
      </c>
      <c r="AF74" s="4" t="str">
        <f>IF(fin_table[[#This Row],[Monthly Income]]&lt;3000, "Low Income", IF(fin_table[[#This Row],[Monthly Income]]&lt;=5000, "Middle Income", "High Income"))</f>
        <v>High Income</v>
      </c>
      <c r="AG74" t="s">
        <v>45</v>
      </c>
      <c r="AH74" t="s">
        <v>3636</v>
      </c>
      <c r="AI74" t="str">
        <f t="shared" si="13"/>
        <v>Low-Risk</v>
      </c>
    </row>
    <row r="75" spans="1:35" x14ac:dyDescent="0.35">
      <c r="A75" t="s">
        <v>333</v>
      </c>
      <c r="B75" t="s">
        <v>334</v>
      </c>
      <c r="C75" t="s">
        <v>335</v>
      </c>
      <c r="D75" s="1">
        <v>44618</v>
      </c>
      <c r="E75" s="1" t="str">
        <f t="shared" si="7"/>
        <v>26</v>
      </c>
      <c r="F75" s="1" t="str">
        <f t="shared" si="8"/>
        <v>Feb</v>
      </c>
      <c r="G75" s="6" t="s">
        <v>71</v>
      </c>
      <c r="H75" s="5">
        <v>7655.24</v>
      </c>
      <c r="I75" s="5" t="str">
        <f>IF(fin_table[[#This Row],[Account Balance]]&lt;20000,"Active", "Not Active")</f>
        <v>Not Active</v>
      </c>
      <c r="J75" s="5">
        <v>46303.49</v>
      </c>
      <c r="K75" s="5" t="str">
        <f t="shared" si="9"/>
        <v>Medium</v>
      </c>
      <c r="L75" s="6" t="s">
        <v>100</v>
      </c>
      <c r="M75">
        <v>19</v>
      </c>
      <c r="N75" s="6" t="str">
        <f t="shared" si="10"/>
        <v>Young Adults</v>
      </c>
      <c r="O75" s="6" t="s">
        <v>25</v>
      </c>
      <c r="P75" s="6" t="s">
        <v>50</v>
      </c>
      <c r="Q75" t="s">
        <v>336</v>
      </c>
      <c r="R75" s="6" t="s">
        <v>38</v>
      </c>
      <c r="S75" s="6" t="s">
        <v>29</v>
      </c>
      <c r="T75" s="14">
        <v>4.8399999999999999E-2</v>
      </c>
      <c r="U75">
        <v>4.84</v>
      </c>
      <c r="V75" t="str">
        <f>IF(fin_table[[#This Row],[Interest Rate(%)]]&gt;4,"high","low")</f>
        <v>high</v>
      </c>
      <c r="W75" s="5">
        <v>6514.26</v>
      </c>
      <c r="X75" s="5">
        <f>fin_table[[#This Row],[Interest Rate]]*fin_table[[#This Row],[Loan Amount]]</f>
        <v>315.29018400000001</v>
      </c>
      <c r="Y75">
        <v>13</v>
      </c>
      <c r="Z75" s="3">
        <v>667</v>
      </c>
      <c r="AA75" s="3" t="str">
        <f t="shared" si="11"/>
        <v>Fair</v>
      </c>
      <c r="AB75" s="3" cm="1">
        <f t="array" ref="AB75">_xlfn.IFS(fin_table[[#This Row],[Transaction Status]]="Failed", 1, fin_table[[#This Row],[Transaction Status]]="Completed",0,fin_table[[#This Row],[Transaction Status]]="Pending",2)</f>
        <v>1</v>
      </c>
      <c r="AC75" s="3" t="str">
        <f>IF(fin_table[[#This Row],[Loan Defaulters]]=1,"Default", "Good")</f>
        <v>Default</v>
      </c>
      <c r="AD75" s="3">
        <f t="shared" si="12"/>
        <v>2</v>
      </c>
      <c r="AE75" s="4">
        <v>4851.78</v>
      </c>
      <c r="AF75" s="4" t="str">
        <f>IF(fin_table[[#This Row],[Monthly Income]]&lt;3000, "Low Income", IF(fin_table[[#This Row],[Monthly Income]]&lt;=5000, "Middle Income", "High Income"))</f>
        <v>Middle Income</v>
      </c>
      <c r="AG75" t="s">
        <v>30</v>
      </c>
      <c r="AH75" t="s">
        <v>3636</v>
      </c>
      <c r="AI75" t="str">
        <f t="shared" si="13"/>
        <v>Low-Risk</v>
      </c>
    </row>
    <row r="76" spans="1:35" x14ac:dyDescent="0.35">
      <c r="A76" t="s">
        <v>337</v>
      </c>
      <c r="B76" t="s">
        <v>338</v>
      </c>
      <c r="C76" t="s">
        <v>339</v>
      </c>
      <c r="D76" s="1">
        <v>44967</v>
      </c>
      <c r="E76" s="1" t="str">
        <f t="shared" si="7"/>
        <v>10</v>
      </c>
      <c r="F76" s="1" t="str">
        <f t="shared" si="8"/>
        <v>Feb</v>
      </c>
      <c r="G76" s="6" t="s">
        <v>71</v>
      </c>
      <c r="H76" s="5">
        <v>4142.2299999999996</v>
      </c>
      <c r="I76" s="5" t="str">
        <f>IF(fin_table[[#This Row],[Account Balance]]&lt;20000,"Active", "Not Active")</f>
        <v>Not Active</v>
      </c>
      <c r="J76" s="5">
        <v>22722.02</v>
      </c>
      <c r="K76" s="5" t="str">
        <f t="shared" si="9"/>
        <v>Medium</v>
      </c>
      <c r="L76" s="6" t="s">
        <v>49</v>
      </c>
      <c r="M76">
        <v>31</v>
      </c>
      <c r="N76" s="6" t="str">
        <f t="shared" si="10"/>
        <v>Adults</v>
      </c>
      <c r="O76" s="6" t="s">
        <v>25</v>
      </c>
      <c r="P76" s="6" t="s">
        <v>26</v>
      </c>
      <c r="Q76" t="s">
        <v>340</v>
      </c>
      <c r="R76" s="6" t="s">
        <v>38</v>
      </c>
      <c r="S76" s="6" t="s">
        <v>44</v>
      </c>
      <c r="T76" s="14">
        <v>1.0500000000000001E-2</v>
      </c>
      <c r="U76">
        <v>1.05</v>
      </c>
      <c r="V76" t="str">
        <f>IF(fin_table[[#This Row],[Interest Rate(%)]]&gt;4,"high","low")</f>
        <v>low</v>
      </c>
      <c r="W76" s="5">
        <v>26681.654999999999</v>
      </c>
      <c r="X76" s="5">
        <f>fin_table[[#This Row],[Interest Rate]]*fin_table[[#This Row],[Loan Amount]]</f>
        <v>280.1573775</v>
      </c>
      <c r="Y76">
        <v>13</v>
      </c>
      <c r="Z76" s="3">
        <v>615</v>
      </c>
      <c r="AA76" s="3" t="str">
        <f t="shared" si="11"/>
        <v>Fair</v>
      </c>
      <c r="AB76" s="3" cm="1">
        <f t="array" ref="AB76">_xlfn.IFS(fin_table[[#This Row],[Transaction Status]]="Failed", 1, fin_table[[#This Row],[Transaction Status]]="Completed",0,fin_table[[#This Row],[Transaction Status]]="Pending",2)</f>
        <v>0</v>
      </c>
      <c r="AC76" s="3" t="str">
        <f>IF(fin_table[[#This Row],[Loan Defaulters]]=1,"Default", "Good")</f>
        <v>Good</v>
      </c>
      <c r="AD76" s="3">
        <f t="shared" si="12"/>
        <v>2</v>
      </c>
      <c r="AE76" s="4">
        <v>11544.84</v>
      </c>
      <c r="AF76" s="4" t="str">
        <f>IF(fin_table[[#This Row],[Monthly Income]]&lt;3000, "Low Income", IF(fin_table[[#This Row],[Monthly Income]]&lt;=5000, "Middle Income", "High Income"))</f>
        <v>High Income</v>
      </c>
      <c r="AG76" t="s">
        <v>63</v>
      </c>
      <c r="AH76" t="s">
        <v>3635</v>
      </c>
      <c r="AI76" t="str">
        <f t="shared" si="13"/>
        <v>Low-Risk</v>
      </c>
    </row>
    <row r="77" spans="1:35" x14ac:dyDescent="0.35">
      <c r="A77" t="s">
        <v>341</v>
      </c>
      <c r="B77" t="s">
        <v>342</v>
      </c>
      <c r="C77" t="s">
        <v>343</v>
      </c>
      <c r="D77" s="1">
        <v>44865</v>
      </c>
      <c r="E77" s="1" t="str">
        <f t="shared" si="7"/>
        <v>31</v>
      </c>
      <c r="F77" s="1" t="str">
        <f t="shared" si="8"/>
        <v>Oct</v>
      </c>
      <c r="G77" s="6" t="s">
        <v>23</v>
      </c>
      <c r="H77" s="5">
        <v>7616.56</v>
      </c>
      <c r="I77" s="5" t="str">
        <f>IF(fin_table[[#This Row],[Account Balance]]&lt;20000,"Active", "Not Active")</f>
        <v>Not Active</v>
      </c>
      <c r="J77" s="5">
        <v>28115.63</v>
      </c>
      <c r="K77" s="5" t="str">
        <f t="shared" si="9"/>
        <v>Medium</v>
      </c>
      <c r="L77" s="6" t="s">
        <v>35</v>
      </c>
      <c r="M77">
        <v>61</v>
      </c>
      <c r="N77" s="6" t="str">
        <f t="shared" si="10"/>
        <v>Seniors</v>
      </c>
      <c r="O77" s="6" t="s">
        <v>25</v>
      </c>
      <c r="P77" s="6" t="s">
        <v>50</v>
      </c>
      <c r="Q77" t="s">
        <v>344</v>
      </c>
      <c r="R77" s="6" t="s">
        <v>28</v>
      </c>
      <c r="S77" s="6" t="s">
        <v>62</v>
      </c>
      <c r="T77" s="14">
        <v>1.6899999999999998E-2</v>
      </c>
      <c r="U77">
        <v>1.69</v>
      </c>
      <c r="V77" t="str">
        <f>IF(fin_table[[#This Row],[Interest Rate(%)]]&gt;4,"high","low")</f>
        <v>low</v>
      </c>
      <c r="W77" s="5">
        <v>23207.26</v>
      </c>
      <c r="X77" s="5">
        <f>fin_table[[#This Row],[Interest Rate]]*fin_table[[#This Row],[Loan Amount]]</f>
        <v>392.20269399999995</v>
      </c>
      <c r="Y77">
        <v>13</v>
      </c>
      <c r="Z77" s="3">
        <v>796</v>
      </c>
      <c r="AA77" s="3" t="str">
        <f t="shared" si="11"/>
        <v>Very Good</v>
      </c>
      <c r="AB77" s="3" cm="1">
        <f t="array" ref="AB77">_xlfn.IFS(fin_table[[#This Row],[Transaction Status]]="Failed", 1, fin_table[[#This Row],[Transaction Status]]="Completed",0,fin_table[[#This Row],[Transaction Status]]="Pending",2)</f>
        <v>2</v>
      </c>
      <c r="AC77" s="3" t="str">
        <f>IF(fin_table[[#This Row],[Loan Defaulters]]=1,"Default", "Good")</f>
        <v>Good</v>
      </c>
      <c r="AD77" s="3">
        <f t="shared" si="12"/>
        <v>4</v>
      </c>
      <c r="AE77" s="4">
        <v>11847.27</v>
      </c>
      <c r="AF77" s="4" t="str">
        <f>IF(fin_table[[#This Row],[Monthly Income]]&lt;3000, "Low Income", IF(fin_table[[#This Row],[Monthly Income]]&lt;=5000, "Middle Income", "High Income"))</f>
        <v>High Income</v>
      </c>
      <c r="AG77" t="s">
        <v>45</v>
      </c>
      <c r="AH77" t="s">
        <v>3636</v>
      </c>
      <c r="AI77" t="str">
        <f t="shared" si="13"/>
        <v>Low-Risk</v>
      </c>
    </row>
    <row r="78" spans="1:35" x14ac:dyDescent="0.35">
      <c r="A78" t="s">
        <v>345</v>
      </c>
      <c r="B78" t="s">
        <v>346</v>
      </c>
      <c r="C78" t="s">
        <v>347</v>
      </c>
      <c r="D78" s="1">
        <v>44885</v>
      </c>
      <c r="E78" s="1" t="str">
        <f t="shared" si="7"/>
        <v>20</v>
      </c>
      <c r="F78" s="1" t="str">
        <f t="shared" si="8"/>
        <v>Nov</v>
      </c>
      <c r="G78" s="6" t="s">
        <v>23</v>
      </c>
      <c r="H78" s="5">
        <v>9045.7199999999993</v>
      </c>
      <c r="I78" s="5" t="str">
        <f>IF(fin_table[[#This Row],[Account Balance]]&lt;20000,"Active", "Not Active")</f>
        <v>Active</v>
      </c>
      <c r="J78" s="5">
        <v>13489.23</v>
      </c>
      <c r="K78" s="5" t="str">
        <f t="shared" si="9"/>
        <v>Medium</v>
      </c>
      <c r="L78" s="6" t="s">
        <v>100</v>
      </c>
      <c r="M78">
        <v>47</v>
      </c>
      <c r="N78" s="6" t="str">
        <f t="shared" si="10"/>
        <v>Older Adults</v>
      </c>
      <c r="O78" s="6" t="s">
        <v>42</v>
      </c>
      <c r="P78" s="6" t="s">
        <v>50</v>
      </c>
      <c r="Q78" t="s">
        <v>237</v>
      </c>
      <c r="R78" s="6" t="s">
        <v>52</v>
      </c>
      <c r="S78" s="6" t="s">
        <v>29</v>
      </c>
      <c r="T78" s="14">
        <v>3.6200000000000003E-2</v>
      </c>
      <c r="U78">
        <v>3.62</v>
      </c>
      <c r="V78" t="str">
        <f>IF(fin_table[[#This Row],[Interest Rate(%)]]&gt;4,"high","low")</f>
        <v>low</v>
      </c>
      <c r="W78" s="5">
        <v>26681.654999999999</v>
      </c>
      <c r="X78" s="5">
        <f>fin_table[[#This Row],[Interest Rate]]*fin_table[[#This Row],[Loan Amount]]</f>
        <v>965.87591100000009</v>
      </c>
      <c r="Y78">
        <v>28</v>
      </c>
      <c r="Z78" s="3">
        <v>644</v>
      </c>
      <c r="AA78" s="3" t="str">
        <f t="shared" si="11"/>
        <v>Fair</v>
      </c>
      <c r="AB78" s="3" cm="1">
        <f t="array" ref="AB78">_xlfn.IFS(fin_table[[#This Row],[Transaction Status]]="Failed", 1, fin_table[[#This Row],[Transaction Status]]="Completed",0,fin_table[[#This Row],[Transaction Status]]="Pending",2)</f>
        <v>1</v>
      </c>
      <c r="AC78" s="3" t="str">
        <f>IF(fin_table[[#This Row],[Loan Defaulters]]=1,"Default", "Good")</f>
        <v>Default</v>
      </c>
      <c r="AD78" s="3">
        <f t="shared" si="12"/>
        <v>2</v>
      </c>
      <c r="AE78" s="4">
        <v>7449.6</v>
      </c>
      <c r="AF78" s="4" t="str">
        <f>IF(fin_table[[#This Row],[Monthly Income]]&lt;3000, "Low Income", IF(fin_table[[#This Row],[Monthly Income]]&lt;=5000, "Middle Income", "High Income"))</f>
        <v>High Income</v>
      </c>
      <c r="AG78" t="s">
        <v>45</v>
      </c>
      <c r="AH78" t="s">
        <v>3635</v>
      </c>
      <c r="AI78" t="str">
        <f t="shared" si="13"/>
        <v>Low-Risk</v>
      </c>
    </row>
    <row r="79" spans="1:35" x14ac:dyDescent="0.35">
      <c r="A79" t="s">
        <v>348</v>
      </c>
      <c r="B79" t="s">
        <v>349</v>
      </c>
      <c r="C79" t="s">
        <v>350</v>
      </c>
      <c r="D79" s="1">
        <v>44875</v>
      </c>
      <c r="E79" s="1" t="str">
        <f t="shared" si="7"/>
        <v>10</v>
      </c>
      <c r="F79" s="1" t="str">
        <f t="shared" si="8"/>
        <v>Nov</v>
      </c>
      <c r="G79" s="6" t="s">
        <v>34</v>
      </c>
      <c r="H79" s="5">
        <v>2404.36</v>
      </c>
      <c r="I79" s="5" t="str">
        <f>IF(fin_table[[#This Row],[Account Balance]]&lt;20000,"Active", "Not Active")</f>
        <v>Not Active</v>
      </c>
      <c r="J79" s="5">
        <v>37384.01</v>
      </c>
      <c r="K79" s="5" t="str">
        <f t="shared" si="9"/>
        <v>Medium</v>
      </c>
      <c r="L79" s="6" t="s">
        <v>100</v>
      </c>
      <c r="M79">
        <v>66</v>
      </c>
      <c r="N79" s="6" t="str">
        <f t="shared" si="10"/>
        <v>Seniors</v>
      </c>
      <c r="O79" s="6" t="s">
        <v>25</v>
      </c>
      <c r="P79" s="6" t="s">
        <v>50</v>
      </c>
      <c r="Q79" t="s">
        <v>351</v>
      </c>
      <c r="R79" s="6" t="s">
        <v>28</v>
      </c>
      <c r="S79" s="6" t="s">
        <v>29</v>
      </c>
      <c r="T79" s="14">
        <v>1.0999999999999999E-2</v>
      </c>
      <c r="U79">
        <v>1.0999999999999999E-2</v>
      </c>
      <c r="V79" t="str">
        <f>IF(fin_table[[#This Row],[Interest Rate(%)]]&gt;4,"high","low")</f>
        <v>low</v>
      </c>
      <c r="W79" s="5">
        <v>44315.27</v>
      </c>
      <c r="X79" s="5">
        <f>fin_table[[#This Row],[Interest Rate]]*fin_table[[#This Row],[Loan Amount]]</f>
        <v>487.46796999999992</v>
      </c>
      <c r="Y79">
        <v>13</v>
      </c>
      <c r="Z79" s="3">
        <v>772</v>
      </c>
      <c r="AA79" s="3" t="str">
        <f t="shared" si="11"/>
        <v>Very Good</v>
      </c>
      <c r="AB79" s="3" cm="1">
        <f t="array" ref="AB79">_xlfn.IFS(fin_table[[#This Row],[Transaction Status]]="Failed", 1, fin_table[[#This Row],[Transaction Status]]="Completed",0,fin_table[[#This Row],[Transaction Status]]="Pending",2)</f>
        <v>1</v>
      </c>
      <c r="AC79" s="3" t="str">
        <f>IF(fin_table[[#This Row],[Loan Defaulters]]=1,"Default", "Good")</f>
        <v>Default</v>
      </c>
      <c r="AD79" s="3">
        <f t="shared" si="12"/>
        <v>4</v>
      </c>
      <c r="AE79" s="4">
        <v>5864.91</v>
      </c>
      <c r="AF79" s="4" t="str">
        <f>IF(fin_table[[#This Row],[Monthly Income]]&lt;3000, "Low Income", IF(fin_table[[#This Row],[Monthly Income]]&lt;=5000, "Middle Income", "High Income"))</f>
        <v>High Income</v>
      </c>
      <c r="AG79" t="s">
        <v>63</v>
      </c>
      <c r="AH79" t="s">
        <v>3636</v>
      </c>
      <c r="AI79" t="str">
        <f t="shared" si="13"/>
        <v>Low-Risk</v>
      </c>
    </row>
    <row r="80" spans="1:35" x14ac:dyDescent="0.35">
      <c r="A80" t="s">
        <v>352</v>
      </c>
      <c r="B80" t="s">
        <v>353</v>
      </c>
      <c r="C80" t="s">
        <v>354</v>
      </c>
      <c r="D80" s="1">
        <v>44972</v>
      </c>
      <c r="E80" s="1" t="str">
        <f t="shared" si="7"/>
        <v>15</v>
      </c>
      <c r="F80" s="1" t="str">
        <f t="shared" si="8"/>
        <v>Feb</v>
      </c>
      <c r="G80" s="6" t="s">
        <v>23</v>
      </c>
      <c r="H80" s="5">
        <v>8093.22</v>
      </c>
      <c r="I80" s="5" t="str">
        <f>IF(fin_table[[#This Row],[Account Balance]]&lt;20000,"Active", "Not Active")</f>
        <v>Active</v>
      </c>
      <c r="J80" s="5">
        <v>4755.1499999999996</v>
      </c>
      <c r="K80" s="5" t="str">
        <f t="shared" si="9"/>
        <v>Low</v>
      </c>
      <c r="L80" s="6" t="s">
        <v>49</v>
      </c>
      <c r="M80">
        <v>29</v>
      </c>
      <c r="N80" s="6" t="str">
        <f t="shared" si="10"/>
        <v>Adults</v>
      </c>
      <c r="O80" s="6" t="s">
        <v>25</v>
      </c>
      <c r="P80" s="6" t="s">
        <v>26</v>
      </c>
      <c r="Q80" t="s">
        <v>355</v>
      </c>
      <c r="R80" s="6" t="s">
        <v>28</v>
      </c>
      <c r="S80" s="6" t="s">
        <v>62</v>
      </c>
      <c r="T80" s="14">
        <v>1.2500000000000001E-2</v>
      </c>
      <c r="U80">
        <v>1.25</v>
      </c>
      <c r="V80" t="str">
        <f>IF(fin_table[[#This Row],[Interest Rate(%)]]&gt;4,"high","low")</f>
        <v>low</v>
      </c>
      <c r="W80" s="5">
        <v>26681.654999999999</v>
      </c>
      <c r="X80" s="5">
        <f>fin_table[[#This Row],[Interest Rate]]*fin_table[[#This Row],[Loan Amount]]</f>
        <v>333.52068750000001</v>
      </c>
      <c r="Y80">
        <v>13</v>
      </c>
      <c r="Z80" s="3">
        <v>414</v>
      </c>
      <c r="AA80" s="3" t="str">
        <f t="shared" si="11"/>
        <v>Poor</v>
      </c>
      <c r="AB80" s="3" cm="1">
        <f t="array" ref="AB80">_xlfn.IFS(fin_table[[#This Row],[Transaction Status]]="Failed", 1, fin_table[[#This Row],[Transaction Status]]="Completed",0,fin_table[[#This Row],[Transaction Status]]="Pending",2)</f>
        <v>2</v>
      </c>
      <c r="AC80" s="3" t="str">
        <f>IF(fin_table[[#This Row],[Loan Defaulters]]=1,"Default", "Good")</f>
        <v>Good</v>
      </c>
      <c r="AD80" s="3">
        <f t="shared" si="12"/>
        <v>1</v>
      </c>
      <c r="AE80" s="4">
        <v>8117.04</v>
      </c>
      <c r="AF80" s="4" t="str">
        <f>IF(fin_table[[#This Row],[Monthly Income]]&lt;3000, "Low Income", IF(fin_table[[#This Row],[Monthly Income]]&lt;=5000, "Middle Income", "High Income"))</f>
        <v>High Income</v>
      </c>
      <c r="AG80" t="s">
        <v>45</v>
      </c>
      <c r="AH80" t="s">
        <v>3635</v>
      </c>
      <c r="AI80" t="str">
        <f t="shared" si="13"/>
        <v>Low-Risk</v>
      </c>
    </row>
    <row r="81" spans="1:35" x14ac:dyDescent="0.35">
      <c r="A81" t="s">
        <v>356</v>
      </c>
      <c r="B81" t="s">
        <v>357</v>
      </c>
      <c r="C81" t="s">
        <v>358</v>
      </c>
      <c r="D81" s="1">
        <v>44894</v>
      </c>
      <c r="E81" s="1" t="str">
        <f t="shared" si="7"/>
        <v>29</v>
      </c>
      <c r="F81" s="1" t="str">
        <f t="shared" si="8"/>
        <v>Nov</v>
      </c>
      <c r="G81" s="6" t="s">
        <v>34</v>
      </c>
      <c r="H81" s="5">
        <v>685.03</v>
      </c>
      <c r="I81" s="5" t="str">
        <f>IF(fin_table[[#This Row],[Account Balance]]&lt;20000,"Active", "Not Active")</f>
        <v>Not Active</v>
      </c>
      <c r="J81" s="5">
        <v>43759.15</v>
      </c>
      <c r="K81" s="5" t="str">
        <f t="shared" si="9"/>
        <v>Medium</v>
      </c>
      <c r="L81" s="6" t="s">
        <v>35</v>
      </c>
      <c r="M81">
        <v>43</v>
      </c>
      <c r="N81" s="6" t="str">
        <f t="shared" si="10"/>
        <v>Middle-Aged</v>
      </c>
      <c r="O81" s="6" t="s">
        <v>25</v>
      </c>
      <c r="P81" s="6" t="s">
        <v>36</v>
      </c>
      <c r="Q81" t="s">
        <v>359</v>
      </c>
      <c r="R81" s="6" t="s">
        <v>28</v>
      </c>
      <c r="S81" s="6" t="s">
        <v>29</v>
      </c>
      <c r="T81" s="14">
        <v>1.8800000000000001E-2</v>
      </c>
      <c r="U81">
        <v>1.88</v>
      </c>
      <c r="V81" t="str">
        <f>IF(fin_table[[#This Row],[Interest Rate(%)]]&gt;4,"high","low")</f>
        <v>low</v>
      </c>
      <c r="W81" s="5">
        <v>5953.65</v>
      </c>
      <c r="X81" s="5">
        <f>fin_table[[#This Row],[Interest Rate]]*fin_table[[#This Row],[Loan Amount]]</f>
        <v>111.92862</v>
      </c>
      <c r="Y81">
        <v>13</v>
      </c>
      <c r="Z81" s="3">
        <v>399</v>
      </c>
      <c r="AA81" s="3" t="str">
        <f t="shared" si="11"/>
        <v>Poor</v>
      </c>
      <c r="AB81" s="3" cm="1">
        <f t="array" ref="AB81">_xlfn.IFS(fin_table[[#This Row],[Transaction Status]]="Failed", 1, fin_table[[#This Row],[Transaction Status]]="Completed",0,fin_table[[#This Row],[Transaction Status]]="Pending",2)</f>
        <v>1</v>
      </c>
      <c r="AC81" s="3" t="str">
        <f>IF(fin_table[[#This Row],[Loan Defaulters]]=1,"Default", "Good")</f>
        <v>Default</v>
      </c>
      <c r="AD81" s="3">
        <f t="shared" si="12"/>
        <v>1</v>
      </c>
      <c r="AE81" s="4">
        <v>3211.78</v>
      </c>
      <c r="AF81" s="4" t="str">
        <f>IF(fin_table[[#This Row],[Monthly Income]]&lt;3000, "Low Income", IF(fin_table[[#This Row],[Monthly Income]]&lt;=5000, "Middle Income", "High Income"))</f>
        <v>Middle Income</v>
      </c>
      <c r="AG81" t="s">
        <v>30</v>
      </c>
      <c r="AH81" t="s">
        <v>3636</v>
      </c>
      <c r="AI81" t="str">
        <f t="shared" si="13"/>
        <v>Low-Risk</v>
      </c>
    </row>
    <row r="82" spans="1:35" x14ac:dyDescent="0.35">
      <c r="A82" t="s">
        <v>360</v>
      </c>
      <c r="B82" t="s">
        <v>361</v>
      </c>
      <c r="C82" t="s">
        <v>362</v>
      </c>
      <c r="D82" s="1">
        <v>44725</v>
      </c>
      <c r="E82" s="1" t="str">
        <f t="shared" si="7"/>
        <v>13</v>
      </c>
      <c r="F82" s="1" t="str">
        <f t="shared" si="8"/>
        <v>Jun</v>
      </c>
      <c r="G82" s="6" t="s">
        <v>71</v>
      </c>
      <c r="H82" s="5">
        <v>8998.59</v>
      </c>
      <c r="I82" s="5" t="str">
        <f>IF(fin_table[[#This Row],[Account Balance]]&lt;20000,"Active", "Not Active")</f>
        <v>Not Active</v>
      </c>
      <c r="J82" s="5">
        <v>41577.72</v>
      </c>
      <c r="K82" s="5" t="str">
        <f t="shared" si="9"/>
        <v>Medium</v>
      </c>
      <c r="L82" s="6" t="s">
        <v>24</v>
      </c>
      <c r="M82">
        <v>61</v>
      </c>
      <c r="N82" s="6" t="str">
        <f t="shared" si="10"/>
        <v>Seniors</v>
      </c>
      <c r="O82" s="6" t="s">
        <v>25</v>
      </c>
      <c r="P82" s="6" t="s">
        <v>26</v>
      </c>
      <c r="Q82" t="s">
        <v>363</v>
      </c>
      <c r="R82" s="6" t="s">
        <v>52</v>
      </c>
      <c r="S82" s="6" t="s">
        <v>29</v>
      </c>
      <c r="T82" s="14">
        <v>3.0499999999999999E-2</v>
      </c>
      <c r="U82">
        <v>3.05</v>
      </c>
      <c r="V82" t="str">
        <f>IF(fin_table[[#This Row],[Interest Rate(%)]]&gt;4,"high","low")</f>
        <v>low</v>
      </c>
      <c r="W82" s="5">
        <v>26681.654999999999</v>
      </c>
      <c r="X82" s="5">
        <f>fin_table[[#This Row],[Interest Rate]]*fin_table[[#This Row],[Loan Amount]]</f>
        <v>813.79047749999995</v>
      </c>
      <c r="Y82">
        <v>1</v>
      </c>
      <c r="Z82" s="3">
        <v>737</v>
      </c>
      <c r="AA82" s="3" t="str">
        <f t="shared" si="11"/>
        <v>Good</v>
      </c>
      <c r="AB82" s="3" cm="1">
        <f t="array" ref="AB82">_xlfn.IFS(fin_table[[#This Row],[Transaction Status]]="Failed", 1, fin_table[[#This Row],[Transaction Status]]="Completed",0,fin_table[[#This Row],[Transaction Status]]="Pending",2)</f>
        <v>1</v>
      </c>
      <c r="AC82" s="3" t="str">
        <f>IF(fin_table[[#This Row],[Loan Defaulters]]=1,"Default", "Good")</f>
        <v>Default</v>
      </c>
      <c r="AD82" s="3">
        <f t="shared" si="12"/>
        <v>3</v>
      </c>
      <c r="AE82" s="4">
        <v>2597.09</v>
      </c>
      <c r="AF82" s="4" t="str">
        <f>IF(fin_table[[#This Row],[Monthly Income]]&lt;3000, "Low Income", IF(fin_table[[#This Row],[Monthly Income]]&lt;=5000, "Middle Income", "High Income"))</f>
        <v>Low Income</v>
      </c>
      <c r="AG82" t="s">
        <v>63</v>
      </c>
      <c r="AH82" t="s">
        <v>3635</v>
      </c>
      <c r="AI82" t="str">
        <f t="shared" si="13"/>
        <v>Low-Risk</v>
      </c>
    </row>
    <row r="83" spans="1:35" x14ac:dyDescent="0.35">
      <c r="A83" t="s">
        <v>364</v>
      </c>
      <c r="B83" t="s">
        <v>365</v>
      </c>
      <c r="C83" t="s">
        <v>366</v>
      </c>
      <c r="D83" s="1">
        <v>44845</v>
      </c>
      <c r="E83" s="1" t="str">
        <f t="shared" si="7"/>
        <v>11</v>
      </c>
      <c r="F83" s="1" t="str">
        <f t="shared" si="8"/>
        <v>Oct</v>
      </c>
      <c r="G83" s="6" t="s">
        <v>34</v>
      </c>
      <c r="H83" s="5">
        <v>6542.61</v>
      </c>
      <c r="I83" s="5" t="str">
        <f>IF(fin_table[[#This Row],[Account Balance]]&lt;20000,"Active", "Not Active")</f>
        <v>Active</v>
      </c>
      <c r="J83" s="5">
        <v>11586.95</v>
      </c>
      <c r="K83" s="5" t="str">
        <f t="shared" si="9"/>
        <v>Medium</v>
      </c>
      <c r="L83" s="6" t="s">
        <v>35</v>
      </c>
      <c r="M83">
        <v>50</v>
      </c>
      <c r="N83" s="6" t="str">
        <f t="shared" si="10"/>
        <v>Older Adults</v>
      </c>
      <c r="O83" s="6" t="s">
        <v>42</v>
      </c>
      <c r="P83" s="6" t="s">
        <v>36</v>
      </c>
      <c r="Q83" t="s">
        <v>367</v>
      </c>
      <c r="R83" s="6" t="s">
        <v>52</v>
      </c>
      <c r="S83" s="6" t="s">
        <v>44</v>
      </c>
      <c r="T83" s="14">
        <v>3.1800000000000002E-2</v>
      </c>
      <c r="U83">
        <v>3.18</v>
      </c>
      <c r="V83" t="str">
        <f>IF(fin_table[[#This Row],[Interest Rate(%)]]&gt;4,"high","low")</f>
        <v>low</v>
      </c>
      <c r="W83" s="5">
        <v>26402.93</v>
      </c>
      <c r="X83" s="5">
        <f>fin_table[[#This Row],[Interest Rate]]*fin_table[[#This Row],[Loan Amount]]</f>
        <v>839.61317400000007</v>
      </c>
      <c r="Y83">
        <v>8</v>
      </c>
      <c r="Z83" s="3">
        <v>644</v>
      </c>
      <c r="AA83" s="3" t="str">
        <f t="shared" si="11"/>
        <v>Fair</v>
      </c>
      <c r="AB83" s="3" cm="1">
        <f t="array" ref="AB83">_xlfn.IFS(fin_table[[#This Row],[Transaction Status]]="Failed", 1, fin_table[[#This Row],[Transaction Status]]="Completed",0,fin_table[[#This Row],[Transaction Status]]="Pending",2)</f>
        <v>0</v>
      </c>
      <c r="AC83" s="3" t="str">
        <f>IF(fin_table[[#This Row],[Loan Defaulters]]=1,"Default", "Good")</f>
        <v>Good</v>
      </c>
      <c r="AD83" s="3">
        <f t="shared" si="12"/>
        <v>2</v>
      </c>
      <c r="AE83" s="4">
        <v>3450.84</v>
      </c>
      <c r="AF83" s="4" t="str">
        <f>IF(fin_table[[#This Row],[Monthly Income]]&lt;3000, "Low Income", IF(fin_table[[#This Row],[Monthly Income]]&lt;=5000, "Middle Income", "High Income"))</f>
        <v>Middle Income</v>
      </c>
      <c r="AG83" t="s">
        <v>45</v>
      </c>
      <c r="AH83" t="s">
        <v>3636</v>
      </c>
      <c r="AI83" t="str">
        <f t="shared" si="13"/>
        <v>Low-Risk</v>
      </c>
    </row>
    <row r="84" spans="1:35" x14ac:dyDescent="0.35">
      <c r="A84" t="s">
        <v>368</v>
      </c>
      <c r="B84" t="s">
        <v>369</v>
      </c>
      <c r="C84" t="s">
        <v>370</v>
      </c>
      <c r="D84" s="1">
        <v>44643</v>
      </c>
      <c r="E84" s="1" t="str">
        <f t="shared" si="7"/>
        <v>23</v>
      </c>
      <c r="F84" s="1" t="str">
        <f t="shared" si="8"/>
        <v>Mar</v>
      </c>
      <c r="G84" s="6" t="s">
        <v>23</v>
      </c>
      <c r="H84" s="5">
        <v>8754.84</v>
      </c>
      <c r="I84" s="5" t="str">
        <f>IF(fin_table[[#This Row],[Account Balance]]&lt;20000,"Active", "Not Active")</f>
        <v>Not Active</v>
      </c>
      <c r="J84" s="5">
        <v>40656.9</v>
      </c>
      <c r="K84" s="5" t="str">
        <f t="shared" si="9"/>
        <v>Medium</v>
      </c>
      <c r="L84" s="6" t="s">
        <v>125</v>
      </c>
      <c r="M84">
        <v>30</v>
      </c>
      <c r="N84" s="6" t="str">
        <f t="shared" si="10"/>
        <v>Adults</v>
      </c>
      <c r="O84" s="6" t="s">
        <v>42</v>
      </c>
      <c r="P84" s="6" t="s">
        <v>50</v>
      </c>
      <c r="Q84" t="s">
        <v>371</v>
      </c>
      <c r="R84" s="6" t="s">
        <v>28</v>
      </c>
      <c r="S84" s="6" t="s">
        <v>44</v>
      </c>
      <c r="T84" s="14">
        <v>1.14E-2</v>
      </c>
      <c r="U84">
        <v>1.1399999999999999</v>
      </c>
      <c r="V84" t="str">
        <f>IF(fin_table[[#This Row],[Interest Rate(%)]]&gt;4,"high","low")</f>
        <v>low</v>
      </c>
      <c r="W84" s="5">
        <v>26681.654999999999</v>
      </c>
      <c r="X84" s="5">
        <f>fin_table[[#This Row],[Interest Rate]]*fin_table[[#This Row],[Loan Amount]]</f>
        <v>304.17086699999999</v>
      </c>
      <c r="Y84">
        <v>13</v>
      </c>
      <c r="Z84" s="3">
        <v>648</v>
      </c>
      <c r="AA84" s="3" t="str">
        <f t="shared" si="11"/>
        <v>Fair</v>
      </c>
      <c r="AB84" s="3" cm="1">
        <f t="array" ref="AB84">_xlfn.IFS(fin_table[[#This Row],[Transaction Status]]="Failed", 1, fin_table[[#This Row],[Transaction Status]]="Completed",0,fin_table[[#This Row],[Transaction Status]]="Pending",2)</f>
        <v>0</v>
      </c>
      <c r="AC84" s="3" t="str">
        <f>IF(fin_table[[#This Row],[Loan Defaulters]]=1,"Default", "Good")</f>
        <v>Good</v>
      </c>
      <c r="AD84" s="3">
        <f t="shared" si="12"/>
        <v>2</v>
      </c>
      <c r="AE84" s="4">
        <v>4432.8900000000003</v>
      </c>
      <c r="AF84" s="4" t="str">
        <f>IF(fin_table[[#This Row],[Monthly Income]]&lt;3000, "Low Income", IF(fin_table[[#This Row],[Monthly Income]]&lt;=5000, "Middle Income", "High Income"))</f>
        <v>Middle Income</v>
      </c>
      <c r="AG84" t="s">
        <v>30</v>
      </c>
      <c r="AH84" t="s">
        <v>3635</v>
      </c>
      <c r="AI84" t="str">
        <f t="shared" si="13"/>
        <v>Low-Risk</v>
      </c>
    </row>
    <row r="85" spans="1:35" x14ac:dyDescent="0.35">
      <c r="A85" t="s">
        <v>372</v>
      </c>
      <c r="B85" t="s">
        <v>373</v>
      </c>
      <c r="C85" t="s">
        <v>374</v>
      </c>
      <c r="D85" s="1">
        <v>44820</v>
      </c>
      <c r="E85" s="1" t="str">
        <f t="shared" si="7"/>
        <v>16</v>
      </c>
      <c r="F85" s="1" t="str">
        <f t="shared" si="8"/>
        <v>Sep</v>
      </c>
      <c r="G85" s="6" t="s">
        <v>71</v>
      </c>
      <c r="H85" s="5">
        <v>101.87</v>
      </c>
      <c r="I85" s="5" t="str">
        <f>IF(fin_table[[#This Row],[Account Balance]]&lt;20000,"Active", "Not Active")</f>
        <v>Not Active</v>
      </c>
      <c r="J85" s="5">
        <v>39531.53</v>
      </c>
      <c r="K85" s="5" t="str">
        <f t="shared" si="9"/>
        <v>Medium</v>
      </c>
      <c r="L85" s="6" t="s">
        <v>100</v>
      </c>
      <c r="M85">
        <v>31</v>
      </c>
      <c r="N85" s="6" t="str">
        <f t="shared" si="10"/>
        <v>Adults</v>
      </c>
      <c r="O85" s="6" t="s">
        <v>25</v>
      </c>
      <c r="P85" s="6" t="s">
        <v>36</v>
      </c>
      <c r="Q85" t="s">
        <v>375</v>
      </c>
      <c r="R85" s="6" t="s">
        <v>52</v>
      </c>
      <c r="S85" s="6" t="s">
        <v>44</v>
      </c>
      <c r="T85" s="14">
        <v>1.6799999999999999E-2</v>
      </c>
      <c r="U85">
        <v>1.68</v>
      </c>
      <c r="V85" t="str">
        <f>IF(fin_table[[#This Row],[Interest Rate(%)]]&gt;4,"high","low")</f>
        <v>low</v>
      </c>
      <c r="W85" s="5">
        <v>43716.66</v>
      </c>
      <c r="X85" s="5">
        <f>fin_table[[#This Row],[Interest Rate]]*fin_table[[#This Row],[Loan Amount]]</f>
        <v>734.439888</v>
      </c>
      <c r="Y85">
        <v>13</v>
      </c>
      <c r="Z85" s="3">
        <v>438</v>
      </c>
      <c r="AA85" s="3" t="str">
        <f t="shared" si="11"/>
        <v>Poor</v>
      </c>
      <c r="AB85" s="3" cm="1">
        <f t="array" ref="AB85">_xlfn.IFS(fin_table[[#This Row],[Transaction Status]]="Failed", 1, fin_table[[#This Row],[Transaction Status]]="Completed",0,fin_table[[#This Row],[Transaction Status]]="Pending",2)</f>
        <v>0</v>
      </c>
      <c r="AC85" s="3" t="str">
        <f>IF(fin_table[[#This Row],[Loan Defaulters]]=1,"Default", "Good")</f>
        <v>Good</v>
      </c>
      <c r="AD85" s="3">
        <f t="shared" si="12"/>
        <v>1</v>
      </c>
      <c r="AE85" s="4">
        <v>8554.2999999999993</v>
      </c>
      <c r="AF85" s="4" t="str">
        <f>IF(fin_table[[#This Row],[Monthly Income]]&lt;3000, "Low Income", IF(fin_table[[#This Row],[Monthly Income]]&lt;=5000, "Middle Income", "High Income"))</f>
        <v>High Income</v>
      </c>
      <c r="AG85" t="s">
        <v>45</v>
      </c>
      <c r="AH85" t="s">
        <v>3636</v>
      </c>
      <c r="AI85" t="str">
        <f t="shared" si="13"/>
        <v>High-Risk</v>
      </c>
    </row>
    <row r="86" spans="1:35" x14ac:dyDescent="0.35">
      <c r="A86" t="s">
        <v>376</v>
      </c>
      <c r="B86" t="s">
        <v>377</v>
      </c>
      <c r="C86" t="s">
        <v>378</v>
      </c>
      <c r="D86" s="1">
        <v>45107</v>
      </c>
      <c r="E86" s="1" t="str">
        <f t="shared" si="7"/>
        <v>30</v>
      </c>
      <c r="F86" s="1" t="str">
        <f t="shared" si="8"/>
        <v>Jun</v>
      </c>
      <c r="G86" s="6" t="s">
        <v>56</v>
      </c>
      <c r="H86" s="5">
        <v>1773.9</v>
      </c>
      <c r="I86" s="5" t="str">
        <f>IF(fin_table[[#This Row],[Account Balance]]&lt;20000,"Active", "Not Active")</f>
        <v>Not Active</v>
      </c>
      <c r="J86" s="5">
        <v>31978.61</v>
      </c>
      <c r="K86" s="5" t="str">
        <f t="shared" si="9"/>
        <v>Medium</v>
      </c>
      <c r="L86" s="6" t="s">
        <v>125</v>
      </c>
      <c r="M86">
        <v>41</v>
      </c>
      <c r="N86" s="6" t="str">
        <f t="shared" si="10"/>
        <v>Middle-Aged</v>
      </c>
      <c r="O86" s="6" t="s">
        <v>25</v>
      </c>
      <c r="P86" s="6" t="s">
        <v>50</v>
      </c>
      <c r="Q86" t="s">
        <v>379</v>
      </c>
      <c r="R86" s="6" t="s">
        <v>28</v>
      </c>
      <c r="S86" s="6" t="s">
        <v>44</v>
      </c>
      <c r="T86" s="47">
        <v>0.03</v>
      </c>
      <c r="U86">
        <v>0.03</v>
      </c>
      <c r="V86" t="str">
        <f>IF(fin_table[[#This Row],[Interest Rate(%)]]&gt;4,"high","low")</f>
        <v>low</v>
      </c>
      <c r="W86" s="5">
        <v>29396.19</v>
      </c>
      <c r="X86" s="5">
        <f>fin_table[[#This Row],[Interest Rate]]*fin_table[[#This Row],[Loan Amount]]</f>
        <v>881.88569999999993</v>
      </c>
      <c r="Y86">
        <v>13</v>
      </c>
      <c r="Z86" s="3">
        <v>623</v>
      </c>
      <c r="AA86" s="3" t="str">
        <f t="shared" si="11"/>
        <v>Fair</v>
      </c>
      <c r="AB86" s="3" cm="1">
        <f t="array" ref="AB86">_xlfn.IFS(fin_table[[#This Row],[Transaction Status]]="Failed", 1, fin_table[[#This Row],[Transaction Status]]="Completed",0,fin_table[[#This Row],[Transaction Status]]="Pending",2)</f>
        <v>0</v>
      </c>
      <c r="AC86" s="3" t="str">
        <f>IF(fin_table[[#This Row],[Loan Defaulters]]=1,"Default", "Good")</f>
        <v>Good</v>
      </c>
      <c r="AD86" s="3">
        <f t="shared" si="12"/>
        <v>2</v>
      </c>
      <c r="AE86" s="4">
        <v>13038.78</v>
      </c>
      <c r="AF86" s="4" t="str">
        <f>IF(fin_table[[#This Row],[Monthly Income]]&lt;3000, "Low Income", IF(fin_table[[#This Row],[Monthly Income]]&lt;=5000, "Middle Income", "High Income"))</f>
        <v>High Income</v>
      </c>
      <c r="AG86" t="s">
        <v>63</v>
      </c>
      <c r="AH86" t="s">
        <v>3636</v>
      </c>
      <c r="AI86" t="str">
        <f t="shared" si="13"/>
        <v>Low-Risk</v>
      </c>
    </row>
    <row r="87" spans="1:35" x14ac:dyDescent="0.35">
      <c r="A87" t="s">
        <v>380</v>
      </c>
      <c r="B87" t="s">
        <v>381</v>
      </c>
      <c r="C87" t="s">
        <v>382</v>
      </c>
      <c r="D87" s="1">
        <v>44923</v>
      </c>
      <c r="E87" s="1" t="str">
        <f t="shared" si="7"/>
        <v>28</v>
      </c>
      <c r="F87" s="1" t="str">
        <f t="shared" si="8"/>
        <v>Dec</v>
      </c>
      <c r="G87" s="6" t="s">
        <v>34</v>
      </c>
      <c r="H87" s="5">
        <v>3958.62</v>
      </c>
      <c r="I87" s="5" t="str">
        <f>IF(fin_table[[#This Row],[Account Balance]]&lt;20000,"Active", "Not Active")</f>
        <v>Active</v>
      </c>
      <c r="J87" s="5">
        <v>19302.490000000002</v>
      </c>
      <c r="K87" s="5" t="str">
        <f t="shared" si="9"/>
        <v>Medium</v>
      </c>
      <c r="L87" s="6" t="s">
        <v>24</v>
      </c>
      <c r="M87">
        <v>51</v>
      </c>
      <c r="N87" s="6" t="str">
        <f t="shared" si="10"/>
        <v>Older Adults</v>
      </c>
      <c r="O87" s="6" t="s">
        <v>25</v>
      </c>
      <c r="P87" s="6" t="s">
        <v>50</v>
      </c>
      <c r="Q87" t="s">
        <v>383</v>
      </c>
      <c r="R87" s="6" t="s">
        <v>52</v>
      </c>
      <c r="S87" s="6" t="s">
        <v>44</v>
      </c>
      <c r="T87" s="14">
        <v>3.3799999999999997E-2</v>
      </c>
      <c r="U87">
        <v>3.38</v>
      </c>
      <c r="V87" t="str">
        <f>IF(fin_table[[#This Row],[Interest Rate(%)]]&gt;4,"high","low")</f>
        <v>low</v>
      </c>
      <c r="W87" s="5">
        <v>36033.61</v>
      </c>
      <c r="X87" s="5">
        <f>fin_table[[#This Row],[Interest Rate]]*fin_table[[#This Row],[Loan Amount]]</f>
        <v>1217.9360179999999</v>
      </c>
      <c r="Y87">
        <v>13</v>
      </c>
      <c r="Z87" s="3">
        <v>601</v>
      </c>
      <c r="AA87" s="3" t="str">
        <f t="shared" si="11"/>
        <v>Fair</v>
      </c>
      <c r="AB87" s="3" cm="1">
        <f t="array" ref="AB87">_xlfn.IFS(fin_table[[#This Row],[Transaction Status]]="Failed", 1, fin_table[[#This Row],[Transaction Status]]="Completed",0,fin_table[[#This Row],[Transaction Status]]="Pending",2)</f>
        <v>0</v>
      </c>
      <c r="AC87" s="3" t="str">
        <f>IF(fin_table[[#This Row],[Loan Defaulters]]=1,"Default", "Good")</f>
        <v>Good</v>
      </c>
      <c r="AD87" s="3">
        <f t="shared" si="12"/>
        <v>2</v>
      </c>
      <c r="AE87" s="4">
        <v>5063.3500000000004</v>
      </c>
      <c r="AF87" s="4" t="str">
        <f>IF(fin_table[[#This Row],[Monthly Income]]&lt;3000, "Low Income", IF(fin_table[[#This Row],[Monthly Income]]&lt;=5000, "Middle Income", "High Income"))</f>
        <v>High Income</v>
      </c>
      <c r="AG87" t="s">
        <v>45</v>
      </c>
      <c r="AH87" t="s">
        <v>3636</v>
      </c>
      <c r="AI87" t="str">
        <f t="shared" si="13"/>
        <v>Low-Risk</v>
      </c>
    </row>
    <row r="88" spans="1:35" x14ac:dyDescent="0.35">
      <c r="A88" t="s">
        <v>384</v>
      </c>
      <c r="B88" t="s">
        <v>385</v>
      </c>
      <c r="C88" t="s">
        <v>386</v>
      </c>
      <c r="D88" s="1">
        <v>44792</v>
      </c>
      <c r="E88" s="1" t="str">
        <f t="shared" si="7"/>
        <v>19</v>
      </c>
      <c r="F88" s="1" t="str">
        <f t="shared" si="8"/>
        <v>Aug</v>
      </c>
      <c r="G88" s="6" t="s">
        <v>71</v>
      </c>
      <c r="H88" s="5">
        <v>3857.08</v>
      </c>
      <c r="I88" s="5" t="str">
        <f>IF(fin_table[[#This Row],[Account Balance]]&lt;20000,"Active", "Not Active")</f>
        <v>Active</v>
      </c>
      <c r="J88" s="5">
        <v>14303.44</v>
      </c>
      <c r="K88" s="5" t="str">
        <f t="shared" si="9"/>
        <v>Medium</v>
      </c>
      <c r="L88" s="6" t="s">
        <v>125</v>
      </c>
      <c r="M88">
        <v>61</v>
      </c>
      <c r="N88" s="6" t="str">
        <f t="shared" si="10"/>
        <v>Seniors</v>
      </c>
      <c r="O88" s="6" t="s">
        <v>42</v>
      </c>
      <c r="P88" s="6" t="s">
        <v>26</v>
      </c>
      <c r="Q88" t="s">
        <v>387</v>
      </c>
      <c r="R88" s="6" t="s">
        <v>52</v>
      </c>
      <c r="S88" s="6" t="s">
        <v>44</v>
      </c>
      <c r="T88" s="14">
        <v>1.5900000000000001E-2</v>
      </c>
      <c r="U88">
        <v>1.59</v>
      </c>
      <c r="V88" t="str">
        <f>IF(fin_table[[#This Row],[Interest Rate(%)]]&gt;4,"high","low")</f>
        <v>low</v>
      </c>
      <c r="W88" s="5">
        <v>26681.654999999999</v>
      </c>
      <c r="X88" s="5">
        <f>fin_table[[#This Row],[Interest Rate]]*fin_table[[#This Row],[Loan Amount]]</f>
        <v>424.2383145</v>
      </c>
      <c r="Y88">
        <v>14</v>
      </c>
      <c r="Z88" s="3">
        <v>593</v>
      </c>
      <c r="AA88" s="3" t="str">
        <f t="shared" si="11"/>
        <v>Fair</v>
      </c>
      <c r="AB88" s="3" cm="1">
        <f t="array" ref="AB88">_xlfn.IFS(fin_table[[#This Row],[Transaction Status]]="Failed", 1, fin_table[[#This Row],[Transaction Status]]="Completed",0,fin_table[[#This Row],[Transaction Status]]="Pending",2)</f>
        <v>0</v>
      </c>
      <c r="AC88" s="3" t="str">
        <f>IF(fin_table[[#This Row],[Loan Defaulters]]=1,"Default", "Good")</f>
        <v>Good</v>
      </c>
      <c r="AD88" s="3">
        <f t="shared" si="12"/>
        <v>2</v>
      </c>
      <c r="AE88" s="4">
        <v>14157.11</v>
      </c>
      <c r="AF88" s="4" t="str">
        <f>IF(fin_table[[#This Row],[Monthly Income]]&lt;3000, "Low Income", IF(fin_table[[#This Row],[Monthly Income]]&lt;=5000, "Middle Income", "High Income"))</f>
        <v>High Income</v>
      </c>
      <c r="AG88" t="s">
        <v>45</v>
      </c>
      <c r="AH88" t="s">
        <v>3635</v>
      </c>
      <c r="AI88" t="str">
        <f t="shared" si="13"/>
        <v>Low-Risk</v>
      </c>
    </row>
    <row r="89" spans="1:35" x14ac:dyDescent="0.35">
      <c r="A89" t="s">
        <v>388</v>
      </c>
      <c r="B89" t="s">
        <v>389</v>
      </c>
      <c r="C89" t="s">
        <v>390</v>
      </c>
      <c r="D89" s="1">
        <v>44755</v>
      </c>
      <c r="E89" s="1" t="str">
        <f t="shared" si="7"/>
        <v>13</v>
      </c>
      <c r="F89" s="1" t="str">
        <f t="shared" si="8"/>
        <v>Jul</v>
      </c>
      <c r="G89" s="6" t="s">
        <v>34</v>
      </c>
      <c r="H89" s="5">
        <v>2344.63</v>
      </c>
      <c r="I89" s="5" t="str">
        <f>IF(fin_table[[#This Row],[Account Balance]]&lt;20000,"Active", "Not Active")</f>
        <v>Active</v>
      </c>
      <c r="J89" s="5">
        <v>12357.4</v>
      </c>
      <c r="K89" s="5" t="str">
        <f t="shared" si="9"/>
        <v>Medium</v>
      </c>
      <c r="L89" s="6" t="s">
        <v>35</v>
      </c>
      <c r="M89">
        <v>43</v>
      </c>
      <c r="N89" s="6" t="str">
        <f t="shared" si="10"/>
        <v>Middle-Aged</v>
      </c>
      <c r="O89" s="6" t="s">
        <v>42</v>
      </c>
      <c r="P89" s="6" t="s">
        <v>50</v>
      </c>
      <c r="Q89" t="s">
        <v>391</v>
      </c>
      <c r="R89" s="6" t="s">
        <v>38</v>
      </c>
      <c r="S89" s="6" t="s">
        <v>62</v>
      </c>
      <c r="T89" s="14">
        <v>2.5999999999999999E-2</v>
      </c>
      <c r="U89">
        <v>2.5999999999999999E-2</v>
      </c>
      <c r="V89" t="str">
        <f>IF(fin_table[[#This Row],[Interest Rate(%)]]&gt;4,"high","low")</f>
        <v>low</v>
      </c>
      <c r="W89" s="5">
        <v>24784.51</v>
      </c>
      <c r="X89" s="5">
        <f>fin_table[[#This Row],[Interest Rate]]*fin_table[[#This Row],[Loan Amount]]</f>
        <v>644.39725999999996</v>
      </c>
      <c r="Y89">
        <v>13</v>
      </c>
      <c r="Z89" s="3">
        <v>828</v>
      </c>
      <c r="AA89" s="3" t="str">
        <f t="shared" si="11"/>
        <v>Excellent</v>
      </c>
      <c r="AB89" s="3" cm="1">
        <f t="array" ref="AB89">_xlfn.IFS(fin_table[[#This Row],[Transaction Status]]="Failed", 1, fin_table[[#This Row],[Transaction Status]]="Completed",0,fin_table[[#This Row],[Transaction Status]]="Pending",2)</f>
        <v>2</v>
      </c>
      <c r="AC89" s="3" t="str">
        <f>IF(fin_table[[#This Row],[Loan Defaulters]]=1,"Default", "Good")</f>
        <v>Good</v>
      </c>
      <c r="AD89" s="3">
        <f t="shared" si="12"/>
        <v>5</v>
      </c>
      <c r="AE89" s="4">
        <v>14413.8</v>
      </c>
      <c r="AF89" s="4" t="str">
        <f>IF(fin_table[[#This Row],[Monthly Income]]&lt;3000, "Low Income", IF(fin_table[[#This Row],[Monthly Income]]&lt;=5000, "Middle Income", "High Income"))</f>
        <v>High Income</v>
      </c>
      <c r="AG89" t="s">
        <v>45</v>
      </c>
      <c r="AH89" t="s">
        <v>3636</v>
      </c>
      <c r="AI89" t="str">
        <f t="shared" si="13"/>
        <v>Low-Risk</v>
      </c>
    </row>
    <row r="90" spans="1:35" x14ac:dyDescent="0.35">
      <c r="A90" t="s">
        <v>392</v>
      </c>
      <c r="B90" t="s">
        <v>393</v>
      </c>
      <c r="C90" t="s">
        <v>394</v>
      </c>
      <c r="D90" s="1">
        <v>44809</v>
      </c>
      <c r="E90" s="1" t="str">
        <f t="shared" si="7"/>
        <v>05</v>
      </c>
      <c r="F90" s="1" t="str">
        <f t="shared" si="8"/>
        <v>Sep</v>
      </c>
      <c r="G90" s="6" t="s">
        <v>71</v>
      </c>
      <c r="H90" s="5">
        <v>3877.96</v>
      </c>
      <c r="I90" s="5" t="str">
        <f>IF(fin_table[[#This Row],[Account Balance]]&lt;20000,"Active", "Not Active")</f>
        <v>Active</v>
      </c>
      <c r="J90" s="5">
        <v>16611.84</v>
      </c>
      <c r="K90" s="5" t="str">
        <f t="shared" si="9"/>
        <v>Medium</v>
      </c>
      <c r="L90" s="6" t="s">
        <v>125</v>
      </c>
      <c r="M90">
        <v>38</v>
      </c>
      <c r="N90" s="6" t="str">
        <f t="shared" si="10"/>
        <v>Middle-Aged</v>
      </c>
      <c r="O90" s="6" t="s">
        <v>42</v>
      </c>
      <c r="P90" s="6" t="s">
        <v>26</v>
      </c>
      <c r="Q90" t="s">
        <v>395</v>
      </c>
      <c r="R90" s="6" t="s">
        <v>28</v>
      </c>
      <c r="S90" s="6" t="s">
        <v>44</v>
      </c>
      <c r="T90" s="14">
        <v>4.6199999999999998E-2</v>
      </c>
      <c r="U90">
        <v>4.62</v>
      </c>
      <c r="V90" t="str">
        <f>IF(fin_table[[#This Row],[Interest Rate(%)]]&gt;4,"high","low")</f>
        <v>high</v>
      </c>
      <c r="W90" s="5">
        <v>25082.9</v>
      </c>
      <c r="X90" s="5">
        <f>fin_table[[#This Row],[Interest Rate]]*fin_table[[#This Row],[Loan Amount]]</f>
        <v>1158.82998</v>
      </c>
      <c r="Y90">
        <v>10</v>
      </c>
      <c r="Z90" s="3">
        <v>591</v>
      </c>
      <c r="AA90" s="3" t="str">
        <f t="shared" si="11"/>
        <v>Fair</v>
      </c>
      <c r="AB90" s="3" cm="1">
        <f t="array" ref="AB90">_xlfn.IFS(fin_table[[#This Row],[Transaction Status]]="Failed", 1, fin_table[[#This Row],[Transaction Status]]="Completed",0,fin_table[[#This Row],[Transaction Status]]="Pending",2)</f>
        <v>0</v>
      </c>
      <c r="AC90" s="3" t="str">
        <f>IF(fin_table[[#This Row],[Loan Defaulters]]=1,"Default", "Good")</f>
        <v>Good</v>
      </c>
      <c r="AD90" s="3">
        <f t="shared" si="12"/>
        <v>2</v>
      </c>
      <c r="AE90" s="4">
        <v>14465.76</v>
      </c>
      <c r="AF90" s="4" t="str">
        <f>IF(fin_table[[#This Row],[Monthly Income]]&lt;3000, "Low Income", IF(fin_table[[#This Row],[Monthly Income]]&lt;=5000, "Middle Income", "High Income"))</f>
        <v>High Income</v>
      </c>
      <c r="AG90" t="s">
        <v>30</v>
      </c>
      <c r="AH90" t="s">
        <v>3636</v>
      </c>
      <c r="AI90" t="str">
        <f t="shared" si="13"/>
        <v>Low-Risk</v>
      </c>
    </row>
    <row r="91" spans="1:35" x14ac:dyDescent="0.35">
      <c r="A91" t="s">
        <v>396</v>
      </c>
      <c r="B91" t="s">
        <v>397</v>
      </c>
      <c r="C91" t="s">
        <v>398</v>
      </c>
      <c r="D91" s="1">
        <v>45023</v>
      </c>
      <c r="E91" s="1" t="str">
        <f t="shared" si="7"/>
        <v>07</v>
      </c>
      <c r="F91" s="1" t="str">
        <f t="shared" si="8"/>
        <v>Apr</v>
      </c>
      <c r="G91" s="6" t="s">
        <v>71</v>
      </c>
      <c r="H91" s="5">
        <v>1375.6</v>
      </c>
      <c r="I91" s="5" t="str">
        <f>IF(fin_table[[#This Row],[Account Balance]]&lt;20000,"Active", "Not Active")</f>
        <v>Not Active</v>
      </c>
      <c r="J91" s="5">
        <v>45274.36</v>
      </c>
      <c r="K91" s="5" t="str">
        <f t="shared" si="9"/>
        <v>Medium</v>
      </c>
      <c r="L91" s="6" t="s">
        <v>24</v>
      </c>
      <c r="M91">
        <v>45</v>
      </c>
      <c r="N91" s="6" t="str">
        <f t="shared" si="10"/>
        <v>Middle-Aged</v>
      </c>
      <c r="O91" s="6" t="s">
        <v>42</v>
      </c>
      <c r="P91" s="6" t="s">
        <v>36</v>
      </c>
      <c r="Q91" t="s">
        <v>399</v>
      </c>
      <c r="R91" s="6" t="s">
        <v>38</v>
      </c>
      <c r="S91" s="6" t="s">
        <v>29</v>
      </c>
      <c r="T91" s="47">
        <v>0.05</v>
      </c>
      <c r="U91">
        <v>0.05</v>
      </c>
      <c r="V91" t="str">
        <f>IF(fin_table[[#This Row],[Interest Rate(%)]]&gt;4,"high","low")</f>
        <v>low</v>
      </c>
      <c r="W91" s="5">
        <v>23491.47</v>
      </c>
      <c r="X91" s="5">
        <f>fin_table[[#This Row],[Interest Rate]]*fin_table[[#This Row],[Loan Amount]]</f>
        <v>1174.5735000000002</v>
      </c>
      <c r="Y91">
        <v>13</v>
      </c>
      <c r="Z91" s="3">
        <v>373</v>
      </c>
      <c r="AA91" s="3" t="str">
        <f t="shared" si="11"/>
        <v>Poor</v>
      </c>
      <c r="AB91" s="3" cm="1">
        <f t="array" ref="AB91">_xlfn.IFS(fin_table[[#This Row],[Transaction Status]]="Failed", 1, fin_table[[#This Row],[Transaction Status]]="Completed",0,fin_table[[#This Row],[Transaction Status]]="Pending",2)</f>
        <v>1</v>
      </c>
      <c r="AC91" s="3" t="str">
        <f>IF(fin_table[[#This Row],[Loan Defaulters]]=1,"Default", "Good")</f>
        <v>Default</v>
      </c>
      <c r="AD91" s="3">
        <f t="shared" si="12"/>
        <v>1</v>
      </c>
      <c r="AE91" s="4">
        <v>12888.32</v>
      </c>
      <c r="AF91" s="4" t="str">
        <f>IF(fin_table[[#This Row],[Monthly Income]]&lt;3000, "Low Income", IF(fin_table[[#This Row],[Monthly Income]]&lt;=5000, "Middle Income", "High Income"))</f>
        <v>High Income</v>
      </c>
      <c r="AG91" t="s">
        <v>30</v>
      </c>
      <c r="AH91" t="s">
        <v>3636</v>
      </c>
      <c r="AI91" t="str">
        <f t="shared" si="13"/>
        <v>Low-Risk</v>
      </c>
    </row>
    <row r="92" spans="1:35" x14ac:dyDescent="0.35">
      <c r="A92" t="s">
        <v>400</v>
      </c>
      <c r="B92" t="s">
        <v>401</v>
      </c>
      <c r="C92" t="s">
        <v>402</v>
      </c>
      <c r="D92" s="1">
        <v>44641</v>
      </c>
      <c r="E92" s="1" t="str">
        <f t="shared" si="7"/>
        <v>21</v>
      </c>
      <c r="F92" s="1" t="str">
        <f t="shared" si="8"/>
        <v>Mar</v>
      </c>
      <c r="G92" s="6" t="s">
        <v>34</v>
      </c>
      <c r="H92" s="5">
        <v>4186.34</v>
      </c>
      <c r="I92" s="5" t="str">
        <f>IF(fin_table[[#This Row],[Account Balance]]&lt;20000,"Active", "Not Active")</f>
        <v>Active</v>
      </c>
      <c r="J92" s="5">
        <v>4804.3999999999996</v>
      </c>
      <c r="K92" s="5" t="str">
        <f t="shared" si="9"/>
        <v>Low</v>
      </c>
      <c r="L92" s="6" t="s">
        <v>24</v>
      </c>
      <c r="M92">
        <v>65</v>
      </c>
      <c r="N92" s="6" t="str">
        <f t="shared" si="10"/>
        <v>Seniors</v>
      </c>
      <c r="O92" s="6" t="s">
        <v>25</v>
      </c>
      <c r="P92" s="6" t="s">
        <v>36</v>
      </c>
      <c r="Q92" t="s">
        <v>367</v>
      </c>
      <c r="R92" s="6" t="s">
        <v>38</v>
      </c>
      <c r="S92" s="6" t="s">
        <v>62</v>
      </c>
      <c r="T92" s="14">
        <v>4.9500000000000002E-2</v>
      </c>
      <c r="U92">
        <v>4.95</v>
      </c>
      <c r="V92" t="str">
        <f>IF(fin_table[[#This Row],[Interest Rate(%)]]&gt;4,"high","low")</f>
        <v>high</v>
      </c>
      <c r="W92" s="5">
        <v>26681.654999999999</v>
      </c>
      <c r="X92" s="5">
        <f>fin_table[[#This Row],[Interest Rate]]*fin_table[[#This Row],[Loan Amount]]</f>
        <v>1320.7419225000001</v>
      </c>
      <c r="Y92">
        <v>13</v>
      </c>
      <c r="Z92" s="3">
        <v>783</v>
      </c>
      <c r="AA92" s="3" t="str">
        <f t="shared" si="11"/>
        <v>Very Good</v>
      </c>
      <c r="AB92" s="3" cm="1">
        <f t="array" ref="AB92">_xlfn.IFS(fin_table[[#This Row],[Transaction Status]]="Failed", 1, fin_table[[#This Row],[Transaction Status]]="Completed",0,fin_table[[#This Row],[Transaction Status]]="Pending",2)</f>
        <v>2</v>
      </c>
      <c r="AC92" s="3" t="str">
        <f>IF(fin_table[[#This Row],[Loan Defaulters]]=1,"Default", "Good")</f>
        <v>Good</v>
      </c>
      <c r="AD92" s="3">
        <f t="shared" si="12"/>
        <v>4</v>
      </c>
      <c r="AE92" s="4">
        <v>6729.73</v>
      </c>
      <c r="AF92" s="4" t="str">
        <f>IF(fin_table[[#This Row],[Monthly Income]]&lt;3000, "Low Income", IF(fin_table[[#This Row],[Monthly Income]]&lt;=5000, "Middle Income", "High Income"))</f>
        <v>High Income</v>
      </c>
      <c r="AG92" t="s">
        <v>45</v>
      </c>
      <c r="AH92" t="s">
        <v>3635</v>
      </c>
      <c r="AI92" t="str">
        <f t="shared" si="13"/>
        <v>Low-Risk</v>
      </c>
    </row>
    <row r="93" spans="1:35" x14ac:dyDescent="0.35">
      <c r="A93" t="s">
        <v>403</v>
      </c>
      <c r="B93" t="s">
        <v>404</v>
      </c>
      <c r="C93" t="s">
        <v>405</v>
      </c>
      <c r="D93" s="1">
        <v>44742</v>
      </c>
      <c r="E93" s="1" t="str">
        <f t="shared" si="7"/>
        <v>30</v>
      </c>
      <c r="F93" s="1" t="str">
        <f t="shared" si="8"/>
        <v>Jun</v>
      </c>
      <c r="G93" s="6" t="s">
        <v>56</v>
      </c>
      <c r="H93" s="5">
        <v>8043.31</v>
      </c>
      <c r="I93" s="5" t="str">
        <f>IF(fin_table[[#This Row],[Account Balance]]&lt;20000,"Active", "Not Active")</f>
        <v>Not Active</v>
      </c>
      <c r="J93" s="5">
        <v>41614.69</v>
      </c>
      <c r="K93" s="5" t="str">
        <f t="shared" si="9"/>
        <v>Medium</v>
      </c>
      <c r="L93" s="6" t="s">
        <v>24</v>
      </c>
      <c r="M93">
        <v>53</v>
      </c>
      <c r="N93" s="6" t="str">
        <f t="shared" si="10"/>
        <v>Older Adults</v>
      </c>
      <c r="O93" s="6" t="s">
        <v>42</v>
      </c>
      <c r="P93" s="6" t="s">
        <v>50</v>
      </c>
      <c r="Q93" t="s">
        <v>406</v>
      </c>
      <c r="R93" s="6" t="s">
        <v>28</v>
      </c>
      <c r="S93" s="6" t="s">
        <v>29</v>
      </c>
      <c r="T93" s="14">
        <v>4.53E-2</v>
      </c>
      <c r="U93">
        <v>4.53</v>
      </c>
      <c r="V93" t="str">
        <f>IF(fin_table[[#This Row],[Interest Rate(%)]]&gt;4,"high","low")</f>
        <v>high</v>
      </c>
      <c r="W93" s="5">
        <v>16269.95</v>
      </c>
      <c r="X93" s="5">
        <f>fin_table[[#This Row],[Interest Rate]]*fin_table[[#This Row],[Loan Amount]]</f>
        <v>737.02873499999998</v>
      </c>
      <c r="Y93">
        <v>7</v>
      </c>
      <c r="Z93" s="3">
        <v>315</v>
      </c>
      <c r="AA93" s="3" t="str">
        <f t="shared" si="11"/>
        <v>Poor</v>
      </c>
      <c r="AB93" s="3" cm="1">
        <f t="array" ref="AB93">_xlfn.IFS(fin_table[[#This Row],[Transaction Status]]="Failed", 1, fin_table[[#This Row],[Transaction Status]]="Completed",0,fin_table[[#This Row],[Transaction Status]]="Pending",2)</f>
        <v>1</v>
      </c>
      <c r="AC93" s="3" t="str">
        <f>IF(fin_table[[#This Row],[Loan Defaulters]]=1,"Default", "Good")</f>
        <v>Default</v>
      </c>
      <c r="AD93" s="3">
        <f t="shared" si="12"/>
        <v>1</v>
      </c>
      <c r="AE93" s="4">
        <v>2944.89</v>
      </c>
      <c r="AF93" s="4" t="str">
        <f>IF(fin_table[[#This Row],[Monthly Income]]&lt;3000, "Low Income", IF(fin_table[[#This Row],[Monthly Income]]&lt;=5000, "Middle Income", "High Income"))</f>
        <v>Low Income</v>
      </c>
      <c r="AG93" t="s">
        <v>45</v>
      </c>
      <c r="AH93" t="s">
        <v>3636</v>
      </c>
      <c r="AI93" t="str">
        <f t="shared" si="13"/>
        <v>Low-Risk</v>
      </c>
    </row>
    <row r="94" spans="1:35" x14ac:dyDescent="0.35">
      <c r="A94" t="s">
        <v>407</v>
      </c>
      <c r="B94" t="s">
        <v>408</v>
      </c>
      <c r="C94" t="s">
        <v>409</v>
      </c>
      <c r="D94" s="1">
        <v>44894</v>
      </c>
      <c r="E94" s="1" t="str">
        <f t="shared" si="7"/>
        <v>29</v>
      </c>
      <c r="F94" s="1" t="str">
        <f t="shared" si="8"/>
        <v>Nov</v>
      </c>
      <c r="G94" s="6" t="s">
        <v>71</v>
      </c>
      <c r="H94" s="5">
        <v>4842.79</v>
      </c>
      <c r="I94" s="5" t="str">
        <f>IF(fin_table[[#This Row],[Account Balance]]&lt;20000,"Active", "Not Active")</f>
        <v>Active</v>
      </c>
      <c r="J94" s="5">
        <v>18095.61</v>
      </c>
      <c r="K94" s="5" t="str">
        <f t="shared" si="9"/>
        <v>Medium</v>
      </c>
      <c r="L94" s="6" t="s">
        <v>35</v>
      </c>
      <c r="M94">
        <v>57</v>
      </c>
      <c r="N94" s="6" t="str">
        <f t="shared" si="10"/>
        <v>Older Adults</v>
      </c>
      <c r="O94" s="6" t="s">
        <v>42</v>
      </c>
      <c r="P94" s="6" t="s">
        <v>26</v>
      </c>
      <c r="Q94" t="s">
        <v>410</v>
      </c>
      <c r="R94" s="6" t="s">
        <v>28</v>
      </c>
      <c r="S94" s="6" t="s">
        <v>44</v>
      </c>
      <c r="T94" s="14">
        <v>2.58E-2</v>
      </c>
      <c r="U94">
        <v>2.58</v>
      </c>
      <c r="V94" t="str">
        <f>IF(fin_table[[#This Row],[Interest Rate(%)]]&gt;4,"high","low")</f>
        <v>low</v>
      </c>
      <c r="W94" s="5">
        <v>26681.654999999999</v>
      </c>
      <c r="X94" s="5">
        <f>fin_table[[#This Row],[Interest Rate]]*fin_table[[#This Row],[Loan Amount]]</f>
        <v>688.38669900000002</v>
      </c>
      <c r="Y94">
        <v>13</v>
      </c>
      <c r="Z94" s="3">
        <v>825</v>
      </c>
      <c r="AA94" s="3" t="str">
        <f t="shared" si="11"/>
        <v>Excellent</v>
      </c>
      <c r="AB94" s="3" cm="1">
        <f t="array" ref="AB94">_xlfn.IFS(fin_table[[#This Row],[Transaction Status]]="Failed", 1, fin_table[[#This Row],[Transaction Status]]="Completed",0,fin_table[[#This Row],[Transaction Status]]="Pending",2)</f>
        <v>0</v>
      </c>
      <c r="AC94" s="3" t="str">
        <f>IF(fin_table[[#This Row],[Loan Defaulters]]=1,"Default", "Good")</f>
        <v>Good</v>
      </c>
      <c r="AD94" s="3">
        <f t="shared" si="12"/>
        <v>5</v>
      </c>
      <c r="AE94" s="4">
        <v>9394.64</v>
      </c>
      <c r="AF94" s="4" t="str">
        <f>IF(fin_table[[#This Row],[Monthly Income]]&lt;3000, "Low Income", IF(fin_table[[#This Row],[Monthly Income]]&lt;=5000, "Middle Income", "High Income"))</f>
        <v>High Income</v>
      </c>
      <c r="AG94" t="s">
        <v>63</v>
      </c>
      <c r="AH94" t="s">
        <v>3635</v>
      </c>
      <c r="AI94" t="str">
        <f t="shared" si="13"/>
        <v>Low-Risk</v>
      </c>
    </row>
    <row r="95" spans="1:35" x14ac:dyDescent="0.35">
      <c r="A95" t="s">
        <v>411</v>
      </c>
      <c r="B95" t="s">
        <v>412</v>
      </c>
      <c r="C95" t="s">
        <v>413</v>
      </c>
      <c r="D95" s="1">
        <v>44840</v>
      </c>
      <c r="E95" s="1" t="str">
        <f t="shared" si="7"/>
        <v>06</v>
      </c>
      <c r="F95" s="1" t="str">
        <f t="shared" si="8"/>
        <v>Oct</v>
      </c>
      <c r="G95" s="6" t="s">
        <v>71</v>
      </c>
      <c r="H95" s="5">
        <v>278.2</v>
      </c>
      <c r="I95" s="5" t="str">
        <f>IF(fin_table[[#This Row],[Account Balance]]&lt;20000,"Active", "Not Active")</f>
        <v>Not Active</v>
      </c>
      <c r="J95" s="5">
        <v>26558.37</v>
      </c>
      <c r="K95" s="5" t="str">
        <f t="shared" si="9"/>
        <v>Medium</v>
      </c>
      <c r="L95" s="6" t="s">
        <v>24</v>
      </c>
      <c r="M95">
        <v>19</v>
      </c>
      <c r="N95" s="6" t="str">
        <f t="shared" si="10"/>
        <v>Young Adults</v>
      </c>
      <c r="O95" s="6" t="s">
        <v>25</v>
      </c>
      <c r="P95" s="6" t="s">
        <v>50</v>
      </c>
      <c r="Q95" t="s">
        <v>414</v>
      </c>
      <c r="R95" s="6" t="s">
        <v>52</v>
      </c>
      <c r="S95" s="6" t="s">
        <v>44</v>
      </c>
      <c r="T95" s="14">
        <v>3.7499999999999999E-2</v>
      </c>
      <c r="U95">
        <v>3.75</v>
      </c>
      <c r="V95" t="str">
        <f>IF(fin_table[[#This Row],[Interest Rate(%)]]&gt;4,"high","low")</f>
        <v>low</v>
      </c>
      <c r="W95" s="5">
        <v>19988.849999999999</v>
      </c>
      <c r="X95" s="5">
        <f>fin_table[[#This Row],[Interest Rate]]*fin_table[[#This Row],[Loan Amount]]</f>
        <v>749.58187499999997</v>
      </c>
      <c r="Y95">
        <v>13</v>
      </c>
      <c r="Z95" s="3">
        <v>635</v>
      </c>
      <c r="AA95" s="3" t="str">
        <f t="shared" si="11"/>
        <v>Fair</v>
      </c>
      <c r="AB95" s="3" cm="1">
        <f t="array" ref="AB95">_xlfn.IFS(fin_table[[#This Row],[Transaction Status]]="Failed", 1, fin_table[[#This Row],[Transaction Status]]="Completed",0,fin_table[[#This Row],[Transaction Status]]="Pending",2)</f>
        <v>0</v>
      </c>
      <c r="AC95" s="3" t="str">
        <f>IF(fin_table[[#This Row],[Loan Defaulters]]=1,"Default", "Good")</f>
        <v>Good</v>
      </c>
      <c r="AD95" s="3">
        <f t="shared" si="12"/>
        <v>2</v>
      </c>
      <c r="AE95" s="4">
        <v>9262.86</v>
      </c>
      <c r="AF95" s="4" t="str">
        <f>IF(fin_table[[#This Row],[Monthly Income]]&lt;3000, "Low Income", IF(fin_table[[#This Row],[Monthly Income]]&lt;=5000, "Middle Income", "High Income"))</f>
        <v>High Income</v>
      </c>
      <c r="AG95" t="s">
        <v>45</v>
      </c>
      <c r="AH95" t="s">
        <v>3636</v>
      </c>
      <c r="AI95" t="str">
        <f t="shared" si="13"/>
        <v>Low-Risk</v>
      </c>
    </row>
    <row r="96" spans="1:35" x14ac:dyDescent="0.35">
      <c r="A96" t="s">
        <v>415</v>
      </c>
      <c r="B96" t="s">
        <v>416</v>
      </c>
      <c r="C96" t="s">
        <v>417</v>
      </c>
      <c r="D96" s="1">
        <v>44839</v>
      </c>
      <c r="E96" s="1" t="str">
        <f t="shared" si="7"/>
        <v>05</v>
      </c>
      <c r="F96" s="1" t="str">
        <f t="shared" si="8"/>
        <v>Oct</v>
      </c>
      <c r="G96" s="6" t="s">
        <v>71</v>
      </c>
      <c r="H96" s="5">
        <v>4272.3</v>
      </c>
      <c r="I96" s="5" t="str">
        <f>IF(fin_table[[#This Row],[Account Balance]]&lt;20000,"Active", "Not Active")</f>
        <v>Not Active</v>
      </c>
      <c r="J96" s="5">
        <v>39929.800000000003</v>
      </c>
      <c r="K96" s="5" t="str">
        <f t="shared" si="9"/>
        <v>Medium</v>
      </c>
      <c r="L96" s="6" t="s">
        <v>100</v>
      </c>
      <c r="M96">
        <v>59</v>
      </c>
      <c r="N96" s="6" t="str">
        <f t="shared" si="10"/>
        <v>Older Adults</v>
      </c>
      <c r="O96" s="6" t="s">
        <v>25</v>
      </c>
      <c r="P96" s="6" t="s">
        <v>26</v>
      </c>
      <c r="Q96" t="s">
        <v>418</v>
      </c>
      <c r="R96" s="6" t="s">
        <v>28</v>
      </c>
      <c r="S96" s="6" t="s">
        <v>29</v>
      </c>
      <c r="T96" s="14">
        <v>2.6700000000000002E-2</v>
      </c>
      <c r="U96">
        <v>2.67</v>
      </c>
      <c r="V96" t="str">
        <f>IF(fin_table[[#This Row],[Interest Rate(%)]]&gt;4,"high","low")</f>
        <v>low</v>
      </c>
      <c r="W96" s="5">
        <v>26681.654999999999</v>
      </c>
      <c r="X96" s="5">
        <f>fin_table[[#This Row],[Interest Rate]]*fin_table[[#This Row],[Loan Amount]]</f>
        <v>712.40018850000001</v>
      </c>
      <c r="Y96">
        <v>13</v>
      </c>
      <c r="Z96" s="3">
        <v>815</v>
      </c>
      <c r="AA96" s="3" t="str">
        <f t="shared" si="11"/>
        <v>Excellent</v>
      </c>
      <c r="AB96" s="3" cm="1">
        <f t="array" ref="AB96">_xlfn.IFS(fin_table[[#This Row],[Transaction Status]]="Failed", 1, fin_table[[#This Row],[Transaction Status]]="Completed",0,fin_table[[#This Row],[Transaction Status]]="Pending",2)</f>
        <v>1</v>
      </c>
      <c r="AC96" s="3" t="str">
        <f>IF(fin_table[[#This Row],[Loan Defaulters]]=1,"Default", "Good")</f>
        <v>Default</v>
      </c>
      <c r="AD96" s="3">
        <f t="shared" si="12"/>
        <v>5</v>
      </c>
      <c r="AE96" s="4">
        <v>13049.68</v>
      </c>
      <c r="AF96" s="4" t="str">
        <f>IF(fin_table[[#This Row],[Monthly Income]]&lt;3000, "Low Income", IF(fin_table[[#This Row],[Monthly Income]]&lt;=5000, "Middle Income", "High Income"))</f>
        <v>High Income</v>
      </c>
      <c r="AG96" t="s">
        <v>63</v>
      </c>
      <c r="AH96" t="s">
        <v>3635</v>
      </c>
      <c r="AI96" t="str">
        <f t="shared" si="13"/>
        <v>Low-Risk</v>
      </c>
    </row>
    <row r="97" spans="1:35" x14ac:dyDescent="0.35">
      <c r="A97" t="s">
        <v>419</v>
      </c>
      <c r="B97" t="s">
        <v>420</v>
      </c>
      <c r="C97" t="s">
        <v>421</v>
      </c>
      <c r="D97" s="1">
        <v>44773</v>
      </c>
      <c r="E97" s="1" t="str">
        <f t="shared" si="7"/>
        <v>31</v>
      </c>
      <c r="F97" s="1" t="str">
        <f t="shared" si="8"/>
        <v>Jul</v>
      </c>
      <c r="G97" s="6" t="s">
        <v>56</v>
      </c>
      <c r="H97" s="5">
        <v>369.03</v>
      </c>
      <c r="I97" s="5" t="str">
        <f>IF(fin_table[[#This Row],[Account Balance]]&lt;20000,"Active", "Not Active")</f>
        <v>Not Active</v>
      </c>
      <c r="J97" s="5">
        <v>44334.45</v>
      </c>
      <c r="K97" s="5" t="str">
        <f t="shared" si="9"/>
        <v>Medium</v>
      </c>
      <c r="L97" s="6" t="s">
        <v>24</v>
      </c>
      <c r="M97">
        <v>26</v>
      </c>
      <c r="N97" s="6" t="str">
        <f t="shared" si="10"/>
        <v>Adults</v>
      </c>
      <c r="O97" s="6" t="s">
        <v>42</v>
      </c>
      <c r="P97" s="6" t="s">
        <v>26</v>
      </c>
      <c r="Q97" t="s">
        <v>422</v>
      </c>
      <c r="R97" s="6" t="s">
        <v>38</v>
      </c>
      <c r="S97" s="6" t="s">
        <v>29</v>
      </c>
      <c r="T97" s="14">
        <v>3.5900000000000001E-2</v>
      </c>
      <c r="U97">
        <v>3.59</v>
      </c>
      <c r="V97" t="str">
        <f>IF(fin_table[[#This Row],[Interest Rate(%)]]&gt;4,"high","low")</f>
        <v>low</v>
      </c>
      <c r="W97" s="5">
        <v>26681.654999999999</v>
      </c>
      <c r="X97" s="5">
        <f>fin_table[[#This Row],[Interest Rate]]*fin_table[[#This Row],[Loan Amount]]</f>
        <v>957.87141450000001</v>
      </c>
      <c r="Y97">
        <v>13</v>
      </c>
      <c r="Z97" s="3">
        <v>426</v>
      </c>
      <c r="AA97" s="3" t="str">
        <f t="shared" si="11"/>
        <v>Poor</v>
      </c>
      <c r="AB97" s="3" cm="1">
        <f t="array" ref="AB97">_xlfn.IFS(fin_table[[#This Row],[Transaction Status]]="Failed", 1, fin_table[[#This Row],[Transaction Status]]="Completed",0,fin_table[[#This Row],[Transaction Status]]="Pending",2)</f>
        <v>1</v>
      </c>
      <c r="AC97" s="3" t="str">
        <f>IF(fin_table[[#This Row],[Loan Defaulters]]=1,"Default", "Good")</f>
        <v>Default</v>
      </c>
      <c r="AD97" s="3">
        <f t="shared" si="12"/>
        <v>1</v>
      </c>
      <c r="AE97" s="4">
        <v>14947.88</v>
      </c>
      <c r="AF97" s="4" t="str">
        <f>IF(fin_table[[#This Row],[Monthly Income]]&lt;3000, "Low Income", IF(fin_table[[#This Row],[Monthly Income]]&lt;=5000, "Middle Income", "High Income"))</f>
        <v>High Income</v>
      </c>
      <c r="AG97" t="s">
        <v>30</v>
      </c>
      <c r="AH97" t="s">
        <v>3635</v>
      </c>
      <c r="AI97" t="str">
        <f t="shared" si="13"/>
        <v>Low-Risk</v>
      </c>
    </row>
    <row r="98" spans="1:35" x14ac:dyDescent="0.35">
      <c r="A98" t="s">
        <v>423</v>
      </c>
      <c r="B98" t="s">
        <v>424</v>
      </c>
      <c r="C98" t="s">
        <v>425</v>
      </c>
      <c r="D98" s="1">
        <v>44905</v>
      </c>
      <c r="E98" s="1" t="str">
        <f t="shared" si="7"/>
        <v>10</v>
      </c>
      <c r="F98" s="1" t="str">
        <f t="shared" si="8"/>
        <v>Dec</v>
      </c>
      <c r="G98" s="6" t="s">
        <v>56</v>
      </c>
      <c r="H98" s="5">
        <v>9665.81</v>
      </c>
      <c r="I98" s="5" t="str">
        <f>IF(fin_table[[#This Row],[Account Balance]]&lt;20000,"Active", "Not Active")</f>
        <v>Active</v>
      </c>
      <c r="J98" s="5">
        <v>17894.29</v>
      </c>
      <c r="K98" s="5" t="str">
        <f t="shared" si="9"/>
        <v>Medium</v>
      </c>
      <c r="L98" s="6" t="s">
        <v>125</v>
      </c>
      <c r="M98">
        <v>40</v>
      </c>
      <c r="N98" s="6" t="str">
        <f t="shared" si="10"/>
        <v>Middle-Aged</v>
      </c>
      <c r="O98" s="6" t="s">
        <v>42</v>
      </c>
      <c r="P98" s="6" t="s">
        <v>26</v>
      </c>
      <c r="Q98" t="s">
        <v>426</v>
      </c>
      <c r="R98" s="6" t="s">
        <v>38</v>
      </c>
      <c r="S98" s="6" t="s">
        <v>29</v>
      </c>
      <c r="T98" s="14">
        <v>2.24E-2</v>
      </c>
      <c r="U98">
        <v>2.2400000000000002</v>
      </c>
      <c r="V98" t="str">
        <f>IF(fin_table[[#This Row],[Interest Rate(%)]]&gt;4,"high","low")</f>
        <v>low</v>
      </c>
      <c r="W98" s="5">
        <v>5604.03</v>
      </c>
      <c r="X98" s="5">
        <f>fin_table[[#This Row],[Interest Rate]]*fin_table[[#This Row],[Loan Amount]]</f>
        <v>125.530272</v>
      </c>
      <c r="Y98">
        <v>18</v>
      </c>
      <c r="Z98" s="3">
        <v>817</v>
      </c>
      <c r="AA98" s="3" t="str">
        <f t="shared" si="11"/>
        <v>Excellent</v>
      </c>
      <c r="AB98" s="3" cm="1">
        <f t="array" ref="AB98">_xlfn.IFS(fin_table[[#This Row],[Transaction Status]]="Failed", 1, fin_table[[#This Row],[Transaction Status]]="Completed",0,fin_table[[#This Row],[Transaction Status]]="Pending",2)</f>
        <v>1</v>
      </c>
      <c r="AC98" s="3" t="str">
        <f>IF(fin_table[[#This Row],[Loan Defaulters]]=1,"Default", "Good")</f>
        <v>Default</v>
      </c>
      <c r="AD98" s="3">
        <f t="shared" si="12"/>
        <v>5</v>
      </c>
      <c r="AE98" s="4">
        <v>8606.0400000000009</v>
      </c>
      <c r="AF98" s="4" t="str">
        <f>IF(fin_table[[#This Row],[Monthly Income]]&lt;3000, "Low Income", IF(fin_table[[#This Row],[Monthly Income]]&lt;=5000, "Middle Income", "High Income"))</f>
        <v>High Income</v>
      </c>
      <c r="AG98" t="s">
        <v>45</v>
      </c>
      <c r="AH98" t="s">
        <v>3636</v>
      </c>
      <c r="AI98" t="str">
        <f t="shared" si="13"/>
        <v>Low-Risk</v>
      </c>
    </row>
    <row r="99" spans="1:35" x14ac:dyDescent="0.35">
      <c r="A99" t="s">
        <v>427</v>
      </c>
      <c r="B99" t="s">
        <v>428</v>
      </c>
      <c r="C99" t="s">
        <v>429</v>
      </c>
      <c r="D99" s="1">
        <v>44751</v>
      </c>
      <c r="E99" s="1" t="str">
        <f t="shared" si="7"/>
        <v>09</v>
      </c>
      <c r="F99" s="1" t="str">
        <f t="shared" si="8"/>
        <v>Jul</v>
      </c>
      <c r="G99" s="6" t="s">
        <v>23</v>
      </c>
      <c r="H99" s="5">
        <v>1361.79</v>
      </c>
      <c r="I99" s="5" t="str">
        <f>IF(fin_table[[#This Row],[Account Balance]]&lt;20000,"Active", "Not Active")</f>
        <v>Not Active</v>
      </c>
      <c r="J99" s="5">
        <v>23630.33</v>
      </c>
      <c r="K99" s="5" t="str">
        <f t="shared" si="9"/>
        <v>Medium</v>
      </c>
      <c r="L99" s="6" t="s">
        <v>125</v>
      </c>
      <c r="M99">
        <v>32</v>
      </c>
      <c r="N99" s="6" t="str">
        <f t="shared" si="10"/>
        <v>Adults</v>
      </c>
      <c r="O99" s="6" t="s">
        <v>42</v>
      </c>
      <c r="P99" s="6" t="s">
        <v>36</v>
      </c>
      <c r="Q99" t="s">
        <v>430</v>
      </c>
      <c r="R99" s="6" t="s">
        <v>28</v>
      </c>
      <c r="S99" s="6" t="s">
        <v>62</v>
      </c>
      <c r="T99" s="14">
        <v>3.4200000000000001E-2</v>
      </c>
      <c r="U99">
        <v>3.42</v>
      </c>
      <c r="V99" t="str">
        <f>IF(fin_table[[#This Row],[Interest Rate(%)]]&gt;4,"high","low")</f>
        <v>low</v>
      </c>
      <c r="W99" s="5">
        <v>26681.654999999999</v>
      </c>
      <c r="X99" s="5">
        <f>fin_table[[#This Row],[Interest Rate]]*fin_table[[#This Row],[Loan Amount]]</f>
        <v>912.51260100000002</v>
      </c>
      <c r="Y99">
        <v>13</v>
      </c>
      <c r="Z99" s="3">
        <v>428</v>
      </c>
      <c r="AA99" s="3" t="str">
        <f t="shared" si="11"/>
        <v>Poor</v>
      </c>
      <c r="AB99" s="3" cm="1">
        <f t="array" ref="AB99">_xlfn.IFS(fin_table[[#This Row],[Transaction Status]]="Failed", 1, fin_table[[#This Row],[Transaction Status]]="Completed",0,fin_table[[#This Row],[Transaction Status]]="Pending",2)</f>
        <v>2</v>
      </c>
      <c r="AC99" s="3" t="str">
        <f>IF(fin_table[[#This Row],[Loan Defaulters]]=1,"Default", "Good")</f>
        <v>Good</v>
      </c>
      <c r="AD99" s="3">
        <f t="shared" si="12"/>
        <v>1</v>
      </c>
      <c r="AE99" s="4">
        <v>6487.65</v>
      </c>
      <c r="AF99" s="4" t="str">
        <f>IF(fin_table[[#This Row],[Monthly Income]]&lt;3000, "Low Income", IF(fin_table[[#This Row],[Monthly Income]]&lt;=5000, "Middle Income", "High Income"))</f>
        <v>High Income</v>
      </c>
      <c r="AG99" t="s">
        <v>63</v>
      </c>
      <c r="AH99" t="s">
        <v>3635</v>
      </c>
      <c r="AI99" t="str">
        <f t="shared" si="13"/>
        <v>Low-Risk</v>
      </c>
    </row>
    <row r="100" spans="1:35" x14ac:dyDescent="0.35">
      <c r="A100" t="s">
        <v>431</v>
      </c>
      <c r="B100" t="s">
        <v>432</v>
      </c>
      <c r="C100" t="s">
        <v>433</v>
      </c>
      <c r="D100" s="1">
        <v>45053</v>
      </c>
      <c r="E100" s="1" t="str">
        <f t="shared" si="7"/>
        <v>07</v>
      </c>
      <c r="F100" s="1" t="str">
        <f t="shared" si="8"/>
        <v>May</v>
      </c>
      <c r="G100" s="6" t="s">
        <v>34</v>
      </c>
      <c r="H100" s="5">
        <v>7106.11</v>
      </c>
      <c r="I100" s="5" t="str">
        <f>IF(fin_table[[#This Row],[Account Balance]]&lt;20000,"Active", "Not Active")</f>
        <v>Not Active</v>
      </c>
      <c r="J100" s="5">
        <v>21311.29</v>
      </c>
      <c r="K100" s="5" t="str">
        <f t="shared" si="9"/>
        <v>Medium</v>
      </c>
      <c r="L100" s="6" t="s">
        <v>125</v>
      </c>
      <c r="M100">
        <v>30</v>
      </c>
      <c r="N100" s="6" t="str">
        <f t="shared" si="10"/>
        <v>Adults</v>
      </c>
      <c r="O100" s="6" t="s">
        <v>42</v>
      </c>
      <c r="P100" s="6" t="s">
        <v>26</v>
      </c>
      <c r="Q100" t="s">
        <v>434</v>
      </c>
      <c r="R100" s="6" t="s">
        <v>38</v>
      </c>
      <c r="S100" s="6" t="s">
        <v>44</v>
      </c>
      <c r="T100" s="14">
        <v>3.1E-2</v>
      </c>
      <c r="U100">
        <v>3.1E-2</v>
      </c>
      <c r="V100" t="str">
        <f>IF(fin_table[[#This Row],[Interest Rate(%)]]&gt;4,"high","low")</f>
        <v>low</v>
      </c>
      <c r="W100" s="5">
        <v>26681.654999999999</v>
      </c>
      <c r="X100" s="5">
        <f>fin_table[[#This Row],[Interest Rate]]*fin_table[[#This Row],[Loan Amount]]</f>
        <v>827.131305</v>
      </c>
      <c r="Y100">
        <v>13</v>
      </c>
      <c r="Z100" s="3">
        <v>810</v>
      </c>
      <c r="AA100" s="3" t="str">
        <f t="shared" si="11"/>
        <v>Excellent</v>
      </c>
      <c r="AB100" s="3" cm="1">
        <f t="array" ref="AB100">_xlfn.IFS(fin_table[[#This Row],[Transaction Status]]="Failed", 1, fin_table[[#This Row],[Transaction Status]]="Completed",0,fin_table[[#This Row],[Transaction Status]]="Pending",2)</f>
        <v>0</v>
      </c>
      <c r="AC100" s="3" t="str">
        <f>IF(fin_table[[#This Row],[Loan Defaulters]]=1,"Default", "Good")</f>
        <v>Good</v>
      </c>
      <c r="AD100" s="3">
        <f t="shared" si="12"/>
        <v>5</v>
      </c>
      <c r="AE100" s="4">
        <v>4416.72</v>
      </c>
      <c r="AF100" s="4" t="str">
        <f>IF(fin_table[[#This Row],[Monthly Income]]&lt;3000, "Low Income", IF(fin_table[[#This Row],[Monthly Income]]&lt;=5000, "Middle Income", "High Income"))</f>
        <v>Middle Income</v>
      </c>
      <c r="AG100" t="s">
        <v>30</v>
      </c>
      <c r="AH100" t="s">
        <v>3635</v>
      </c>
      <c r="AI100" t="str">
        <f t="shared" si="13"/>
        <v>Low-Risk</v>
      </c>
    </row>
    <row r="101" spans="1:35" x14ac:dyDescent="0.35">
      <c r="A101" t="s">
        <v>435</v>
      </c>
      <c r="B101" t="s">
        <v>436</v>
      </c>
      <c r="C101" t="s">
        <v>437</v>
      </c>
      <c r="D101" s="1">
        <v>44792</v>
      </c>
      <c r="E101" s="1" t="str">
        <f t="shared" si="7"/>
        <v>19</v>
      </c>
      <c r="F101" s="1" t="str">
        <f t="shared" si="8"/>
        <v>Aug</v>
      </c>
      <c r="G101" s="6" t="s">
        <v>56</v>
      </c>
      <c r="H101" s="5">
        <v>9730.49</v>
      </c>
      <c r="I101" s="5" t="str">
        <f>IF(fin_table[[#This Row],[Account Balance]]&lt;20000,"Active", "Not Active")</f>
        <v>Active</v>
      </c>
      <c r="J101" s="5">
        <v>1649.3</v>
      </c>
      <c r="K101" s="5" t="str">
        <f t="shared" si="9"/>
        <v>Low</v>
      </c>
      <c r="L101" s="6" t="s">
        <v>35</v>
      </c>
      <c r="M101">
        <v>40</v>
      </c>
      <c r="N101" s="6" t="str">
        <f t="shared" si="10"/>
        <v>Middle-Aged</v>
      </c>
      <c r="O101" s="6" t="s">
        <v>25</v>
      </c>
      <c r="P101" s="6" t="s">
        <v>36</v>
      </c>
      <c r="Q101" t="s">
        <v>438</v>
      </c>
      <c r="R101" s="6" t="s">
        <v>52</v>
      </c>
      <c r="S101" s="6" t="s">
        <v>29</v>
      </c>
      <c r="T101" s="14">
        <v>1.0999999999999999E-2</v>
      </c>
      <c r="U101">
        <v>1.0999999999999999E-2</v>
      </c>
      <c r="V101" t="str">
        <f>IF(fin_table[[#This Row],[Interest Rate(%)]]&gt;4,"high","low")</f>
        <v>low</v>
      </c>
      <c r="W101" s="5">
        <v>5974.16</v>
      </c>
      <c r="X101" s="5">
        <f>fin_table[[#This Row],[Interest Rate]]*fin_table[[#This Row],[Loan Amount]]</f>
        <v>65.715759999999989</v>
      </c>
      <c r="Y101">
        <v>10</v>
      </c>
      <c r="Z101" s="3">
        <v>722</v>
      </c>
      <c r="AA101" s="3" t="str">
        <f t="shared" si="11"/>
        <v>Good</v>
      </c>
      <c r="AB101" s="3" cm="1">
        <f t="array" ref="AB101">_xlfn.IFS(fin_table[[#This Row],[Transaction Status]]="Failed", 1, fin_table[[#This Row],[Transaction Status]]="Completed",0,fin_table[[#This Row],[Transaction Status]]="Pending",2)</f>
        <v>1</v>
      </c>
      <c r="AC101" s="3" t="str">
        <f>IF(fin_table[[#This Row],[Loan Defaulters]]=1,"Default", "Good")</f>
        <v>Default</v>
      </c>
      <c r="AD101" s="3">
        <f t="shared" si="12"/>
        <v>3</v>
      </c>
      <c r="AE101" s="4">
        <v>2062.4</v>
      </c>
      <c r="AF101" s="4" t="str">
        <f>IF(fin_table[[#This Row],[Monthly Income]]&lt;3000, "Low Income", IF(fin_table[[#This Row],[Monthly Income]]&lt;=5000, "Middle Income", "High Income"))</f>
        <v>Low Income</v>
      </c>
      <c r="AG101" t="s">
        <v>63</v>
      </c>
      <c r="AH101" t="s">
        <v>3636</v>
      </c>
      <c r="AI101" t="str">
        <f t="shared" si="13"/>
        <v>Low-Risk</v>
      </c>
    </row>
    <row r="102" spans="1:35" x14ac:dyDescent="0.35">
      <c r="A102" t="s">
        <v>439</v>
      </c>
      <c r="B102" t="s">
        <v>440</v>
      </c>
      <c r="C102" t="s">
        <v>441</v>
      </c>
      <c r="D102" s="1">
        <v>44644</v>
      </c>
      <c r="E102" s="1" t="str">
        <f t="shared" si="7"/>
        <v>24</v>
      </c>
      <c r="F102" s="1" t="str">
        <f t="shared" si="8"/>
        <v>Mar</v>
      </c>
      <c r="G102" s="6" t="s">
        <v>34</v>
      </c>
      <c r="H102" s="5">
        <v>8277.7900000000009</v>
      </c>
      <c r="I102" s="5" t="str">
        <f>IF(fin_table[[#This Row],[Account Balance]]&lt;20000,"Active", "Not Active")</f>
        <v>Active</v>
      </c>
      <c r="J102" s="5">
        <v>15501.2</v>
      </c>
      <c r="K102" s="5" t="str">
        <f t="shared" si="9"/>
        <v>Medium</v>
      </c>
      <c r="L102" s="6" t="s">
        <v>125</v>
      </c>
      <c r="M102">
        <v>34</v>
      </c>
      <c r="N102" s="6" t="str">
        <f t="shared" si="10"/>
        <v>Adults</v>
      </c>
      <c r="O102" s="6" t="s">
        <v>25</v>
      </c>
      <c r="P102" s="6" t="s">
        <v>26</v>
      </c>
      <c r="Q102" t="s">
        <v>237</v>
      </c>
      <c r="R102" s="6" t="s">
        <v>38</v>
      </c>
      <c r="S102" s="6" t="s">
        <v>44</v>
      </c>
      <c r="T102" s="14">
        <v>4.1599999999999998E-2</v>
      </c>
      <c r="U102">
        <v>4.16</v>
      </c>
      <c r="V102" t="str">
        <f>IF(fin_table[[#This Row],[Interest Rate(%)]]&gt;4,"high","low")</f>
        <v>high</v>
      </c>
      <c r="W102" s="5">
        <v>26681.654999999999</v>
      </c>
      <c r="X102" s="5">
        <f>fin_table[[#This Row],[Interest Rate]]*fin_table[[#This Row],[Loan Amount]]</f>
        <v>1109.9568479999998</v>
      </c>
      <c r="Y102">
        <v>13</v>
      </c>
      <c r="Z102" s="3">
        <v>684</v>
      </c>
      <c r="AA102" s="3" t="str">
        <f t="shared" si="11"/>
        <v>Good</v>
      </c>
      <c r="AB102" s="3" cm="1">
        <f t="array" ref="AB102">_xlfn.IFS(fin_table[[#This Row],[Transaction Status]]="Failed", 1, fin_table[[#This Row],[Transaction Status]]="Completed",0,fin_table[[#This Row],[Transaction Status]]="Pending",2)</f>
        <v>0</v>
      </c>
      <c r="AC102" s="3" t="str">
        <f>IF(fin_table[[#This Row],[Loan Defaulters]]=1,"Default", "Good")</f>
        <v>Good</v>
      </c>
      <c r="AD102" s="3">
        <f t="shared" si="12"/>
        <v>3</v>
      </c>
      <c r="AE102" s="4">
        <v>8618.48</v>
      </c>
      <c r="AF102" s="4" t="str">
        <f>IF(fin_table[[#This Row],[Monthly Income]]&lt;3000, "Low Income", IF(fin_table[[#This Row],[Monthly Income]]&lt;=5000, "Middle Income", "High Income"))</f>
        <v>High Income</v>
      </c>
      <c r="AG102" t="s">
        <v>30</v>
      </c>
      <c r="AH102" t="s">
        <v>3635</v>
      </c>
      <c r="AI102" t="str">
        <f t="shared" si="13"/>
        <v>Low-Risk</v>
      </c>
    </row>
    <row r="103" spans="1:35" x14ac:dyDescent="0.35">
      <c r="A103" t="s">
        <v>442</v>
      </c>
      <c r="B103" t="s">
        <v>443</v>
      </c>
      <c r="C103" t="s">
        <v>444</v>
      </c>
      <c r="D103" s="1">
        <v>45091</v>
      </c>
      <c r="E103" s="1" t="str">
        <f t="shared" si="7"/>
        <v>14</v>
      </c>
      <c r="F103" s="1" t="str">
        <f t="shared" si="8"/>
        <v>Jun</v>
      </c>
      <c r="G103" s="6" t="s">
        <v>23</v>
      </c>
      <c r="H103" s="5">
        <v>7023.22</v>
      </c>
      <c r="I103" s="5" t="str">
        <f>IF(fin_table[[#This Row],[Account Balance]]&lt;20000,"Active", "Not Active")</f>
        <v>Not Active</v>
      </c>
      <c r="J103" s="5">
        <v>23500.27</v>
      </c>
      <c r="K103" s="5" t="str">
        <f t="shared" si="9"/>
        <v>Medium</v>
      </c>
      <c r="L103" s="6" t="s">
        <v>35</v>
      </c>
      <c r="M103">
        <v>65</v>
      </c>
      <c r="N103" s="6" t="str">
        <f t="shared" si="10"/>
        <v>Seniors</v>
      </c>
      <c r="O103" s="6" t="s">
        <v>42</v>
      </c>
      <c r="P103" s="6" t="s">
        <v>36</v>
      </c>
      <c r="Q103" t="s">
        <v>445</v>
      </c>
      <c r="R103" s="6" t="s">
        <v>52</v>
      </c>
      <c r="S103" s="6" t="s">
        <v>29</v>
      </c>
      <c r="T103" s="14">
        <v>1.0500000000000001E-2</v>
      </c>
      <c r="U103">
        <v>1.05</v>
      </c>
      <c r="V103" t="str">
        <f>IF(fin_table[[#This Row],[Interest Rate(%)]]&gt;4,"high","low")</f>
        <v>low</v>
      </c>
      <c r="W103" s="5">
        <v>26681.654999999999</v>
      </c>
      <c r="X103" s="5">
        <f>fin_table[[#This Row],[Interest Rate]]*fin_table[[#This Row],[Loan Amount]]</f>
        <v>280.1573775</v>
      </c>
      <c r="Y103">
        <v>14</v>
      </c>
      <c r="Z103" s="3">
        <v>531</v>
      </c>
      <c r="AA103" s="3" t="str">
        <f t="shared" si="11"/>
        <v>Poor</v>
      </c>
      <c r="AB103" s="3" cm="1">
        <f t="array" ref="AB103">_xlfn.IFS(fin_table[[#This Row],[Transaction Status]]="Failed", 1, fin_table[[#This Row],[Transaction Status]]="Completed",0,fin_table[[#This Row],[Transaction Status]]="Pending",2)</f>
        <v>1</v>
      </c>
      <c r="AC103" s="3" t="str">
        <f>IF(fin_table[[#This Row],[Loan Defaulters]]=1,"Default", "Good")</f>
        <v>Default</v>
      </c>
      <c r="AD103" s="3">
        <f t="shared" si="12"/>
        <v>1</v>
      </c>
      <c r="AE103" s="4">
        <v>9221.74</v>
      </c>
      <c r="AF103" s="4" t="str">
        <f>IF(fin_table[[#This Row],[Monthly Income]]&lt;3000, "Low Income", IF(fin_table[[#This Row],[Monthly Income]]&lt;=5000, "Middle Income", "High Income"))</f>
        <v>High Income</v>
      </c>
      <c r="AG103" t="s">
        <v>45</v>
      </c>
      <c r="AH103" t="s">
        <v>3635</v>
      </c>
      <c r="AI103" t="str">
        <f t="shared" si="13"/>
        <v>Low-Risk</v>
      </c>
    </row>
    <row r="104" spans="1:35" x14ac:dyDescent="0.35">
      <c r="A104" t="s">
        <v>446</v>
      </c>
      <c r="B104" t="s">
        <v>447</v>
      </c>
      <c r="C104" t="s">
        <v>448</v>
      </c>
      <c r="D104" s="1">
        <v>44638</v>
      </c>
      <c r="E104" s="1" t="str">
        <f t="shared" si="7"/>
        <v>18</v>
      </c>
      <c r="F104" s="1" t="str">
        <f t="shared" si="8"/>
        <v>Mar</v>
      </c>
      <c r="G104" s="6" t="s">
        <v>34</v>
      </c>
      <c r="H104" s="5">
        <v>8410.66</v>
      </c>
      <c r="I104" s="5" t="str">
        <f>IF(fin_table[[#This Row],[Account Balance]]&lt;20000,"Active", "Not Active")</f>
        <v>Not Active</v>
      </c>
      <c r="J104" s="5">
        <v>21143.59</v>
      </c>
      <c r="K104" s="5" t="str">
        <f t="shared" si="9"/>
        <v>Medium</v>
      </c>
      <c r="L104" s="6" t="s">
        <v>35</v>
      </c>
      <c r="M104">
        <v>19</v>
      </c>
      <c r="N104" s="6" t="str">
        <f t="shared" si="10"/>
        <v>Young Adults</v>
      </c>
      <c r="O104" s="6" t="s">
        <v>42</v>
      </c>
      <c r="P104" s="6" t="s">
        <v>36</v>
      </c>
      <c r="Q104" t="s">
        <v>449</v>
      </c>
      <c r="R104" s="6" t="s">
        <v>38</v>
      </c>
      <c r="S104" s="6" t="s">
        <v>44</v>
      </c>
      <c r="T104" s="14">
        <v>2.1700000000000001E-2</v>
      </c>
      <c r="U104">
        <v>2.17</v>
      </c>
      <c r="V104" t="str">
        <f>IF(fin_table[[#This Row],[Interest Rate(%)]]&gt;4,"high","low")</f>
        <v>low</v>
      </c>
      <c r="W104" s="5">
        <v>26681.654999999999</v>
      </c>
      <c r="X104" s="5">
        <f>fin_table[[#This Row],[Interest Rate]]*fin_table[[#This Row],[Loan Amount]]</f>
        <v>578.99191350000001</v>
      </c>
      <c r="Y104">
        <v>13</v>
      </c>
      <c r="Z104" s="3">
        <v>494</v>
      </c>
      <c r="AA104" s="3" t="str">
        <f t="shared" si="11"/>
        <v>Poor</v>
      </c>
      <c r="AB104" s="3" cm="1">
        <f t="array" ref="AB104">_xlfn.IFS(fin_table[[#This Row],[Transaction Status]]="Failed", 1, fin_table[[#This Row],[Transaction Status]]="Completed",0,fin_table[[#This Row],[Transaction Status]]="Pending",2)</f>
        <v>0</v>
      </c>
      <c r="AC104" s="3" t="str">
        <f>IF(fin_table[[#This Row],[Loan Defaulters]]=1,"Default", "Good")</f>
        <v>Good</v>
      </c>
      <c r="AD104" s="3">
        <f t="shared" si="12"/>
        <v>1</v>
      </c>
      <c r="AE104" s="4">
        <v>12724.2</v>
      </c>
      <c r="AF104" s="4" t="str">
        <f>IF(fin_table[[#This Row],[Monthly Income]]&lt;3000, "Low Income", IF(fin_table[[#This Row],[Monthly Income]]&lt;=5000, "Middle Income", "High Income"))</f>
        <v>High Income</v>
      </c>
      <c r="AG104" t="s">
        <v>63</v>
      </c>
      <c r="AH104" t="s">
        <v>3635</v>
      </c>
      <c r="AI104" t="str">
        <f t="shared" si="13"/>
        <v>Low-Risk</v>
      </c>
    </row>
    <row r="105" spans="1:35" x14ac:dyDescent="0.35">
      <c r="A105" t="s">
        <v>450</v>
      </c>
      <c r="B105" t="s">
        <v>451</v>
      </c>
      <c r="C105" t="s">
        <v>452</v>
      </c>
      <c r="D105" s="1">
        <v>44783</v>
      </c>
      <c r="E105" s="1" t="str">
        <f t="shared" si="7"/>
        <v>10</v>
      </c>
      <c r="F105" s="1" t="str">
        <f t="shared" si="8"/>
        <v>Aug</v>
      </c>
      <c r="G105" s="6" t="s">
        <v>56</v>
      </c>
      <c r="H105" s="5">
        <v>9819.81</v>
      </c>
      <c r="I105" s="5" t="str">
        <f>IF(fin_table[[#This Row],[Account Balance]]&lt;20000,"Active", "Not Active")</f>
        <v>Not Active</v>
      </c>
      <c r="J105" s="5">
        <v>36374.53</v>
      </c>
      <c r="K105" s="5" t="str">
        <f t="shared" si="9"/>
        <v>Medium</v>
      </c>
      <c r="L105" s="6" t="s">
        <v>24</v>
      </c>
      <c r="M105">
        <v>37</v>
      </c>
      <c r="N105" s="6" t="str">
        <f t="shared" si="10"/>
        <v>Middle-Aged</v>
      </c>
      <c r="O105" s="6" t="s">
        <v>42</v>
      </c>
      <c r="P105" s="6" t="s">
        <v>36</v>
      </c>
      <c r="Q105" t="s">
        <v>453</v>
      </c>
      <c r="R105" s="6" t="s">
        <v>52</v>
      </c>
      <c r="S105" s="6" t="s">
        <v>62</v>
      </c>
      <c r="T105" s="14">
        <v>1.0200000000000001E-2</v>
      </c>
      <c r="U105">
        <v>1.02</v>
      </c>
      <c r="V105" t="str">
        <f>IF(fin_table[[#This Row],[Interest Rate(%)]]&gt;4,"high","low")</f>
        <v>low</v>
      </c>
      <c r="W105" s="5">
        <v>26681.654999999999</v>
      </c>
      <c r="X105" s="5">
        <f>fin_table[[#This Row],[Interest Rate]]*fin_table[[#This Row],[Loan Amount]]</f>
        <v>272.15288099999998</v>
      </c>
      <c r="Y105">
        <v>13</v>
      </c>
      <c r="Z105" s="3">
        <v>364</v>
      </c>
      <c r="AA105" s="3" t="str">
        <f t="shared" si="11"/>
        <v>Poor</v>
      </c>
      <c r="AB105" s="3" cm="1">
        <f t="array" ref="AB105">_xlfn.IFS(fin_table[[#This Row],[Transaction Status]]="Failed", 1, fin_table[[#This Row],[Transaction Status]]="Completed",0,fin_table[[#This Row],[Transaction Status]]="Pending",2)</f>
        <v>2</v>
      </c>
      <c r="AC105" s="3" t="str">
        <f>IF(fin_table[[#This Row],[Loan Defaulters]]=1,"Default", "Good")</f>
        <v>Good</v>
      </c>
      <c r="AD105" s="3">
        <f t="shared" si="12"/>
        <v>1</v>
      </c>
      <c r="AE105" s="4">
        <v>8559.5</v>
      </c>
      <c r="AF105" s="4" t="str">
        <f>IF(fin_table[[#This Row],[Monthly Income]]&lt;3000, "Low Income", IF(fin_table[[#This Row],[Monthly Income]]&lt;=5000, "Middle Income", "High Income"))</f>
        <v>High Income</v>
      </c>
      <c r="AG105" t="s">
        <v>45</v>
      </c>
      <c r="AH105" t="s">
        <v>3635</v>
      </c>
      <c r="AI105" t="str">
        <f t="shared" si="13"/>
        <v>Low-Risk</v>
      </c>
    </row>
    <row r="106" spans="1:35" x14ac:dyDescent="0.35">
      <c r="A106" t="s">
        <v>454</v>
      </c>
      <c r="B106" t="s">
        <v>455</v>
      </c>
      <c r="C106" t="s">
        <v>456</v>
      </c>
      <c r="D106" s="1">
        <v>44926</v>
      </c>
      <c r="E106" s="1" t="str">
        <f t="shared" si="7"/>
        <v>31</v>
      </c>
      <c r="F106" s="1" t="str">
        <f t="shared" si="8"/>
        <v>Dec</v>
      </c>
      <c r="G106" s="6" t="s">
        <v>34</v>
      </c>
      <c r="H106" s="5">
        <v>6251.31</v>
      </c>
      <c r="I106" s="5" t="str">
        <f>IF(fin_table[[#This Row],[Account Balance]]&lt;20000,"Active", "Not Active")</f>
        <v>Active</v>
      </c>
      <c r="J106" s="5">
        <v>19855.38</v>
      </c>
      <c r="K106" s="5" t="str">
        <f t="shared" si="9"/>
        <v>Medium</v>
      </c>
      <c r="L106" s="6" t="s">
        <v>100</v>
      </c>
      <c r="M106">
        <v>37</v>
      </c>
      <c r="N106" s="6" t="str">
        <f t="shared" si="10"/>
        <v>Middle-Aged</v>
      </c>
      <c r="O106" s="6" t="s">
        <v>42</v>
      </c>
      <c r="P106" s="6" t="s">
        <v>50</v>
      </c>
      <c r="Q106" t="s">
        <v>457</v>
      </c>
      <c r="R106" s="6" t="s">
        <v>52</v>
      </c>
      <c r="S106" s="6" t="s">
        <v>44</v>
      </c>
      <c r="T106" s="14">
        <v>2.5000000000000001E-2</v>
      </c>
      <c r="U106">
        <v>2.5000000000000001E-2</v>
      </c>
      <c r="V106" t="str">
        <f>IF(fin_table[[#This Row],[Interest Rate(%)]]&gt;4,"high","low")</f>
        <v>low</v>
      </c>
      <c r="W106" s="5">
        <v>38463.29</v>
      </c>
      <c r="X106" s="5">
        <f>fin_table[[#This Row],[Interest Rate]]*fin_table[[#This Row],[Loan Amount]]</f>
        <v>961.58225000000004</v>
      </c>
      <c r="Y106">
        <v>13</v>
      </c>
      <c r="Z106" s="3">
        <v>576</v>
      </c>
      <c r="AA106" s="3" t="str">
        <f t="shared" si="11"/>
        <v>Poor</v>
      </c>
      <c r="AB106" s="3" cm="1">
        <f t="array" ref="AB106">_xlfn.IFS(fin_table[[#This Row],[Transaction Status]]="Failed", 1, fin_table[[#This Row],[Transaction Status]]="Completed",0,fin_table[[#This Row],[Transaction Status]]="Pending",2)</f>
        <v>0</v>
      </c>
      <c r="AC106" s="3" t="str">
        <f>IF(fin_table[[#This Row],[Loan Defaulters]]=1,"Default", "Good")</f>
        <v>Good</v>
      </c>
      <c r="AD106" s="3">
        <f t="shared" si="12"/>
        <v>1</v>
      </c>
      <c r="AE106" s="4">
        <v>13914.09</v>
      </c>
      <c r="AF106" s="4" t="str">
        <f>IF(fin_table[[#This Row],[Monthly Income]]&lt;3000, "Low Income", IF(fin_table[[#This Row],[Monthly Income]]&lt;=5000, "Middle Income", "High Income"))</f>
        <v>High Income</v>
      </c>
      <c r="AG106" t="s">
        <v>63</v>
      </c>
      <c r="AH106" t="s">
        <v>3636</v>
      </c>
      <c r="AI106" t="str">
        <f t="shared" si="13"/>
        <v>High-Risk</v>
      </c>
    </row>
    <row r="107" spans="1:35" x14ac:dyDescent="0.35">
      <c r="A107" t="s">
        <v>458</v>
      </c>
      <c r="B107" t="s">
        <v>459</v>
      </c>
      <c r="C107" t="s">
        <v>460</v>
      </c>
      <c r="D107" s="1">
        <v>44808</v>
      </c>
      <c r="E107" s="1" t="str">
        <f t="shared" si="7"/>
        <v>04</v>
      </c>
      <c r="F107" s="1" t="str">
        <f t="shared" si="8"/>
        <v>Sep</v>
      </c>
      <c r="G107" s="6" t="s">
        <v>56</v>
      </c>
      <c r="H107" s="5">
        <v>5635.93</v>
      </c>
      <c r="I107" s="5" t="str">
        <f>IF(fin_table[[#This Row],[Account Balance]]&lt;20000,"Active", "Not Active")</f>
        <v>Not Active</v>
      </c>
      <c r="J107" s="5">
        <v>24979.45</v>
      </c>
      <c r="K107" s="5" t="str">
        <f t="shared" si="9"/>
        <v>Medium</v>
      </c>
      <c r="L107" s="6" t="s">
        <v>24</v>
      </c>
      <c r="M107">
        <v>63</v>
      </c>
      <c r="N107" s="6" t="str">
        <f t="shared" si="10"/>
        <v>Seniors</v>
      </c>
      <c r="O107" s="6" t="s">
        <v>42</v>
      </c>
      <c r="P107" s="6" t="s">
        <v>26</v>
      </c>
      <c r="Q107" t="s">
        <v>461</v>
      </c>
      <c r="R107" s="6" t="s">
        <v>28</v>
      </c>
      <c r="S107" s="6" t="s">
        <v>29</v>
      </c>
      <c r="T107" s="14">
        <v>1.2500000000000001E-2</v>
      </c>
      <c r="U107">
        <v>1.25</v>
      </c>
      <c r="V107" t="str">
        <f>IF(fin_table[[#This Row],[Interest Rate(%)]]&gt;4,"high","low")</f>
        <v>low</v>
      </c>
      <c r="W107" s="5">
        <v>26681.654999999999</v>
      </c>
      <c r="X107" s="5">
        <f>fin_table[[#This Row],[Interest Rate]]*fin_table[[#This Row],[Loan Amount]]</f>
        <v>333.52068750000001</v>
      </c>
      <c r="Y107">
        <v>2</v>
      </c>
      <c r="Z107" s="3">
        <v>523</v>
      </c>
      <c r="AA107" s="3" t="str">
        <f t="shared" si="11"/>
        <v>Poor</v>
      </c>
      <c r="AB107" s="3" cm="1">
        <f t="array" ref="AB107">_xlfn.IFS(fin_table[[#This Row],[Transaction Status]]="Failed", 1, fin_table[[#This Row],[Transaction Status]]="Completed",0,fin_table[[#This Row],[Transaction Status]]="Pending",2)</f>
        <v>1</v>
      </c>
      <c r="AC107" s="3" t="str">
        <f>IF(fin_table[[#This Row],[Loan Defaulters]]=1,"Default", "Good")</f>
        <v>Default</v>
      </c>
      <c r="AD107" s="3">
        <f t="shared" si="12"/>
        <v>1</v>
      </c>
      <c r="AE107" s="4">
        <v>10165.09</v>
      </c>
      <c r="AF107" s="4" t="str">
        <f>IF(fin_table[[#This Row],[Monthly Income]]&lt;3000, "Low Income", IF(fin_table[[#This Row],[Monthly Income]]&lt;=5000, "Middle Income", "High Income"))</f>
        <v>High Income</v>
      </c>
      <c r="AG107" t="s">
        <v>30</v>
      </c>
      <c r="AH107" t="s">
        <v>3635</v>
      </c>
      <c r="AI107" t="str">
        <f t="shared" si="13"/>
        <v>Low-Risk</v>
      </c>
    </row>
    <row r="108" spans="1:35" x14ac:dyDescent="0.35">
      <c r="A108" t="s">
        <v>462</v>
      </c>
      <c r="B108" t="s">
        <v>463</v>
      </c>
      <c r="C108" t="s">
        <v>464</v>
      </c>
      <c r="D108" s="1">
        <v>44886</v>
      </c>
      <c r="E108" s="1" t="str">
        <f t="shared" si="7"/>
        <v>21</v>
      </c>
      <c r="F108" s="1" t="str">
        <f t="shared" si="8"/>
        <v>Nov</v>
      </c>
      <c r="G108" s="6" t="s">
        <v>34</v>
      </c>
      <c r="H108" s="5">
        <v>6319.56</v>
      </c>
      <c r="I108" s="5" t="str">
        <f>IF(fin_table[[#This Row],[Account Balance]]&lt;20000,"Active", "Not Active")</f>
        <v>Not Active</v>
      </c>
      <c r="J108" s="5">
        <v>22050.82</v>
      </c>
      <c r="K108" s="5" t="str">
        <f t="shared" si="9"/>
        <v>Medium</v>
      </c>
      <c r="L108" s="6" t="s">
        <v>24</v>
      </c>
      <c r="M108">
        <v>20</v>
      </c>
      <c r="N108" s="6" t="str">
        <f t="shared" si="10"/>
        <v>Young Adults</v>
      </c>
      <c r="O108" s="6" t="s">
        <v>25</v>
      </c>
      <c r="P108" s="6" t="s">
        <v>50</v>
      </c>
      <c r="Q108" t="s">
        <v>465</v>
      </c>
      <c r="R108" s="6" t="s">
        <v>52</v>
      </c>
      <c r="S108" s="6" t="s">
        <v>44</v>
      </c>
      <c r="T108" s="14">
        <v>4.65E-2</v>
      </c>
      <c r="U108">
        <v>4.6500000000000004</v>
      </c>
      <c r="V108" t="str">
        <f>IF(fin_table[[#This Row],[Interest Rate(%)]]&gt;4,"high","low")</f>
        <v>high</v>
      </c>
      <c r="W108" s="5">
        <v>26681.654999999999</v>
      </c>
      <c r="X108" s="5">
        <f>fin_table[[#This Row],[Interest Rate]]*fin_table[[#This Row],[Loan Amount]]</f>
        <v>1240.6969574999998</v>
      </c>
      <c r="Y108">
        <v>29</v>
      </c>
      <c r="Z108" s="3">
        <v>577</v>
      </c>
      <c r="AA108" s="3" t="str">
        <f t="shared" si="11"/>
        <v>Poor</v>
      </c>
      <c r="AB108" s="3" cm="1">
        <f t="array" ref="AB108">_xlfn.IFS(fin_table[[#This Row],[Transaction Status]]="Failed", 1, fin_table[[#This Row],[Transaction Status]]="Completed",0,fin_table[[#This Row],[Transaction Status]]="Pending",2)</f>
        <v>0</v>
      </c>
      <c r="AC108" s="3" t="str">
        <f>IF(fin_table[[#This Row],[Loan Defaulters]]=1,"Default", "Good")</f>
        <v>Good</v>
      </c>
      <c r="AD108" s="3">
        <f t="shared" si="12"/>
        <v>1</v>
      </c>
      <c r="AE108" s="4">
        <v>12924.37</v>
      </c>
      <c r="AF108" s="4" t="str">
        <f>IF(fin_table[[#This Row],[Monthly Income]]&lt;3000, "Low Income", IF(fin_table[[#This Row],[Monthly Income]]&lt;=5000, "Middle Income", "High Income"))</f>
        <v>High Income</v>
      </c>
      <c r="AG108" t="s">
        <v>63</v>
      </c>
      <c r="AH108" t="s">
        <v>3635</v>
      </c>
      <c r="AI108" t="str">
        <f t="shared" si="13"/>
        <v>Low-Risk</v>
      </c>
    </row>
    <row r="109" spans="1:35" x14ac:dyDescent="0.35">
      <c r="A109" t="s">
        <v>466</v>
      </c>
      <c r="B109" t="s">
        <v>467</v>
      </c>
      <c r="C109" t="s">
        <v>468</v>
      </c>
      <c r="D109" s="1">
        <v>44838</v>
      </c>
      <c r="E109" s="1" t="str">
        <f t="shared" si="7"/>
        <v>04</v>
      </c>
      <c r="F109" s="1" t="str">
        <f t="shared" si="8"/>
        <v>Oct</v>
      </c>
      <c r="G109" s="6" t="s">
        <v>56</v>
      </c>
      <c r="H109" s="5">
        <v>5373.49</v>
      </c>
      <c r="I109" s="5" t="str">
        <f>IF(fin_table[[#This Row],[Account Balance]]&lt;20000,"Active", "Not Active")</f>
        <v>Not Active</v>
      </c>
      <c r="J109" s="5">
        <v>37290.68</v>
      </c>
      <c r="K109" s="5" t="str">
        <f t="shared" si="9"/>
        <v>Medium</v>
      </c>
      <c r="L109" s="6" t="s">
        <v>35</v>
      </c>
      <c r="M109">
        <v>29</v>
      </c>
      <c r="N109" s="6" t="str">
        <f t="shared" si="10"/>
        <v>Adults</v>
      </c>
      <c r="O109" s="6" t="s">
        <v>25</v>
      </c>
      <c r="P109" s="6" t="s">
        <v>26</v>
      </c>
      <c r="Q109" t="s">
        <v>469</v>
      </c>
      <c r="R109" s="6" t="s">
        <v>28</v>
      </c>
      <c r="S109" s="6" t="s">
        <v>62</v>
      </c>
      <c r="T109" s="14">
        <v>2.6599999999999999E-2</v>
      </c>
      <c r="U109">
        <v>2.66</v>
      </c>
      <c r="V109" t="str">
        <f>IF(fin_table[[#This Row],[Interest Rate(%)]]&gt;4,"high","low")</f>
        <v>low</v>
      </c>
      <c r="W109" s="5">
        <v>16017.78</v>
      </c>
      <c r="X109" s="5">
        <f>fin_table[[#This Row],[Interest Rate]]*fin_table[[#This Row],[Loan Amount]]</f>
        <v>426.072948</v>
      </c>
      <c r="Y109">
        <v>13</v>
      </c>
      <c r="Z109" s="3">
        <v>665</v>
      </c>
      <c r="AA109" s="3" t="str">
        <f t="shared" si="11"/>
        <v>Fair</v>
      </c>
      <c r="AB109" s="3" cm="1">
        <f t="array" ref="AB109">_xlfn.IFS(fin_table[[#This Row],[Transaction Status]]="Failed", 1, fin_table[[#This Row],[Transaction Status]]="Completed",0,fin_table[[#This Row],[Transaction Status]]="Pending",2)</f>
        <v>2</v>
      </c>
      <c r="AC109" s="3" t="str">
        <f>IF(fin_table[[#This Row],[Loan Defaulters]]=1,"Default", "Good")</f>
        <v>Good</v>
      </c>
      <c r="AD109" s="3">
        <f t="shared" si="12"/>
        <v>2</v>
      </c>
      <c r="AE109" s="4">
        <v>3927.92</v>
      </c>
      <c r="AF109" s="4" t="str">
        <f>IF(fin_table[[#This Row],[Monthly Income]]&lt;3000, "Low Income", IF(fin_table[[#This Row],[Monthly Income]]&lt;=5000, "Middle Income", "High Income"))</f>
        <v>Middle Income</v>
      </c>
      <c r="AG109" t="s">
        <v>63</v>
      </c>
      <c r="AH109" t="s">
        <v>3636</v>
      </c>
      <c r="AI109" t="str">
        <f t="shared" si="13"/>
        <v>Low-Risk</v>
      </c>
    </row>
    <row r="110" spans="1:35" x14ac:dyDescent="0.35">
      <c r="A110" t="s">
        <v>470</v>
      </c>
      <c r="B110" t="s">
        <v>471</v>
      </c>
      <c r="C110" t="s">
        <v>472</v>
      </c>
      <c r="D110" s="1">
        <v>45126</v>
      </c>
      <c r="E110" s="1" t="str">
        <f t="shared" si="7"/>
        <v>19</v>
      </c>
      <c r="F110" s="1" t="str">
        <f t="shared" si="8"/>
        <v>Jul</v>
      </c>
      <c r="G110" s="6" t="s">
        <v>56</v>
      </c>
      <c r="H110" s="5">
        <v>6387.38</v>
      </c>
      <c r="I110" s="5" t="str">
        <f>IF(fin_table[[#This Row],[Account Balance]]&lt;20000,"Active", "Not Active")</f>
        <v>Not Active</v>
      </c>
      <c r="J110" s="5">
        <v>43285.65</v>
      </c>
      <c r="K110" s="5" t="str">
        <f t="shared" si="9"/>
        <v>Medium</v>
      </c>
      <c r="L110" s="6" t="s">
        <v>35</v>
      </c>
      <c r="M110">
        <v>57</v>
      </c>
      <c r="N110" s="6" t="str">
        <f t="shared" si="10"/>
        <v>Older Adults</v>
      </c>
      <c r="O110" s="6" t="s">
        <v>25</v>
      </c>
      <c r="P110" s="6" t="s">
        <v>26</v>
      </c>
      <c r="Q110" t="s">
        <v>473</v>
      </c>
      <c r="R110" s="6" t="s">
        <v>38</v>
      </c>
      <c r="S110" s="6" t="s">
        <v>62</v>
      </c>
      <c r="T110" s="14">
        <v>2.8400000000000002E-2</v>
      </c>
      <c r="U110">
        <v>2.84</v>
      </c>
      <c r="V110" t="str">
        <f>IF(fin_table[[#This Row],[Interest Rate(%)]]&gt;4,"high","low")</f>
        <v>low</v>
      </c>
      <c r="W110" s="5">
        <v>37244.910000000003</v>
      </c>
      <c r="X110" s="5">
        <f>fin_table[[#This Row],[Interest Rate]]*fin_table[[#This Row],[Loan Amount]]</f>
        <v>1057.7554440000001</v>
      </c>
      <c r="Y110">
        <v>21</v>
      </c>
      <c r="Z110" s="3">
        <v>815</v>
      </c>
      <c r="AA110" s="3" t="str">
        <f t="shared" si="11"/>
        <v>Excellent</v>
      </c>
      <c r="AB110" s="3" cm="1">
        <f t="array" ref="AB110">_xlfn.IFS(fin_table[[#This Row],[Transaction Status]]="Failed", 1, fin_table[[#This Row],[Transaction Status]]="Completed",0,fin_table[[#This Row],[Transaction Status]]="Pending",2)</f>
        <v>2</v>
      </c>
      <c r="AC110" s="3" t="str">
        <f>IF(fin_table[[#This Row],[Loan Defaulters]]=1,"Default", "Good")</f>
        <v>Good</v>
      </c>
      <c r="AD110" s="3">
        <f t="shared" si="12"/>
        <v>5</v>
      </c>
      <c r="AE110" s="4">
        <v>13119.37</v>
      </c>
      <c r="AF110" s="4" t="str">
        <f>IF(fin_table[[#This Row],[Monthly Income]]&lt;3000, "Low Income", IF(fin_table[[#This Row],[Monthly Income]]&lt;=5000, "Middle Income", "High Income"))</f>
        <v>High Income</v>
      </c>
      <c r="AG110" t="s">
        <v>45</v>
      </c>
      <c r="AH110" t="s">
        <v>3636</v>
      </c>
      <c r="AI110" t="str">
        <f t="shared" si="13"/>
        <v>Low-Risk</v>
      </c>
    </row>
    <row r="111" spans="1:35" x14ac:dyDescent="0.35">
      <c r="A111" t="s">
        <v>474</v>
      </c>
      <c r="B111" t="s">
        <v>475</v>
      </c>
      <c r="C111" t="s">
        <v>476</v>
      </c>
      <c r="D111" s="1">
        <v>45122</v>
      </c>
      <c r="E111" s="1" t="str">
        <f t="shared" si="7"/>
        <v>15</v>
      </c>
      <c r="F111" s="1" t="str">
        <f t="shared" si="8"/>
        <v>Jul</v>
      </c>
      <c r="G111" s="6" t="s">
        <v>34</v>
      </c>
      <c r="H111" s="5">
        <v>4553.4399999999996</v>
      </c>
      <c r="I111" s="5" t="str">
        <f>IF(fin_table[[#This Row],[Account Balance]]&lt;20000,"Active", "Not Active")</f>
        <v>Not Active</v>
      </c>
      <c r="J111" s="5">
        <v>27062.560000000001</v>
      </c>
      <c r="K111" s="5" t="str">
        <f t="shared" si="9"/>
        <v>Medium</v>
      </c>
      <c r="L111" s="6" t="s">
        <v>125</v>
      </c>
      <c r="M111">
        <v>19</v>
      </c>
      <c r="N111" s="6" t="str">
        <f t="shared" si="10"/>
        <v>Young Adults</v>
      </c>
      <c r="O111" s="6" t="s">
        <v>42</v>
      </c>
      <c r="P111" s="6" t="s">
        <v>50</v>
      </c>
      <c r="Q111" t="s">
        <v>477</v>
      </c>
      <c r="R111" s="6" t="s">
        <v>38</v>
      </c>
      <c r="S111" s="6" t="s">
        <v>44</v>
      </c>
      <c r="T111" s="14">
        <v>2.4E-2</v>
      </c>
      <c r="U111">
        <v>2.4E-2</v>
      </c>
      <c r="V111" t="str">
        <f>IF(fin_table[[#This Row],[Interest Rate(%)]]&gt;4,"high","low")</f>
        <v>low</v>
      </c>
      <c r="W111" s="5">
        <v>26681.654999999999</v>
      </c>
      <c r="X111" s="5">
        <f>fin_table[[#This Row],[Interest Rate]]*fin_table[[#This Row],[Loan Amount]]</f>
        <v>640.35972000000004</v>
      </c>
      <c r="Y111">
        <v>13</v>
      </c>
      <c r="Z111" s="3">
        <v>514</v>
      </c>
      <c r="AA111" s="3" t="str">
        <f t="shared" si="11"/>
        <v>Poor</v>
      </c>
      <c r="AB111" s="3" cm="1">
        <f t="array" ref="AB111">_xlfn.IFS(fin_table[[#This Row],[Transaction Status]]="Failed", 1, fin_table[[#This Row],[Transaction Status]]="Completed",0,fin_table[[#This Row],[Transaction Status]]="Pending",2)</f>
        <v>0</v>
      </c>
      <c r="AC111" s="3" t="str">
        <f>IF(fin_table[[#This Row],[Loan Defaulters]]=1,"Default", "Good")</f>
        <v>Good</v>
      </c>
      <c r="AD111" s="3">
        <f t="shared" si="12"/>
        <v>1</v>
      </c>
      <c r="AE111" s="4">
        <v>10776.87</v>
      </c>
      <c r="AF111" s="4" t="str">
        <f>IF(fin_table[[#This Row],[Monthly Income]]&lt;3000, "Low Income", IF(fin_table[[#This Row],[Monthly Income]]&lt;=5000, "Middle Income", "High Income"))</f>
        <v>High Income</v>
      </c>
      <c r="AG111" t="s">
        <v>45</v>
      </c>
      <c r="AH111" t="s">
        <v>3635</v>
      </c>
      <c r="AI111" t="str">
        <f t="shared" si="13"/>
        <v>Low-Risk</v>
      </c>
    </row>
    <row r="112" spans="1:35" x14ac:dyDescent="0.35">
      <c r="A112" t="s">
        <v>478</v>
      </c>
      <c r="B112" t="s">
        <v>479</v>
      </c>
      <c r="C112" t="s">
        <v>480</v>
      </c>
      <c r="D112" s="1">
        <v>45115</v>
      </c>
      <c r="E112" s="1" t="str">
        <f t="shared" si="7"/>
        <v>08</v>
      </c>
      <c r="F112" s="1" t="str">
        <f t="shared" si="8"/>
        <v>Jul</v>
      </c>
      <c r="G112" s="6" t="s">
        <v>23</v>
      </c>
      <c r="H112" s="5">
        <v>2262.59</v>
      </c>
      <c r="I112" s="5" t="str">
        <f>IF(fin_table[[#This Row],[Account Balance]]&lt;20000,"Active", "Not Active")</f>
        <v>Not Active</v>
      </c>
      <c r="J112" s="5">
        <v>39682.18</v>
      </c>
      <c r="K112" s="5" t="str">
        <f t="shared" si="9"/>
        <v>Medium</v>
      </c>
      <c r="L112" s="6" t="s">
        <v>125</v>
      </c>
      <c r="M112">
        <v>53</v>
      </c>
      <c r="N112" s="6" t="str">
        <f t="shared" si="10"/>
        <v>Older Adults</v>
      </c>
      <c r="O112" s="6" t="s">
        <v>42</v>
      </c>
      <c r="P112" s="6" t="s">
        <v>36</v>
      </c>
      <c r="Q112" t="s">
        <v>481</v>
      </c>
      <c r="R112" s="6" t="s">
        <v>38</v>
      </c>
      <c r="S112" s="6" t="s">
        <v>29</v>
      </c>
      <c r="T112" s="14">
        <v>3.5099999999999999E-2</v>
      </c>
      <c r="U112">
        <v>3.51</v>
      </c>
      <c r="V112" t="str">
        <f>IF(fin_table[[#This Row],[Interest Rate(%)]]&gt;4,"high","low")</f>
        <v>low</v>
      </c>
      <c r="W112" s="5">
        <v>14530.97</v>
      </c>
      <c r="X112" s="5">
        <f>fin_table[[#This Row],[Interest Rate]]*fin_table[[#This Row],[Loan Amount]]</f>
        <v>510.03704699999997</v>
      </c>
      <c r="Y112">
        <v>29</v>
      </c>
      <c r="Z112" s="3">
        <v>738</v>
      </c>
      <c r="AA112" s="3" t="str">
        <f t="shared" si="11"/>
        <v>Good</v>
      </c>
      <c r="AB112" s="3" cm="1">
        <f t="array" ref="AB112">_xlfn.IFS(fin_table[[#This Row],[Transaction Status]]="Failed", 1, fin_table[[#This Row],[Transaction Status]]="Completed",0,fin_table[[#This Row],[Transaction Status]]="Pending",2)</f>
        <v>1</v>
      </c>
      <c r="AC112" s="3" t="str">
        <f>IF(fin_table[[#This Row],[Loan Defaulters]]=1,"Default", "Good")</f>
        <v>Default</v>
      </c>
      <c r="AD112" s="3">
        <f t="shared" si="12"/>
        <v>3</v>
      </c>
      <c r="AE112" s="4">
        <v>4213.03</v>
      </c>
      <c r="AF112" s="4" t="str">
        <f>IF(fin_table[[#This Row],[Monthly Income]]&lt;3000, "Low Income", IF(fin_table[[#This Row],[Monthly Income]]&lt;=5000, "Middle Income", "High Income"))</f>
        <v>Middle Income</v>
      </c>
      <c r="AG112" t="s">
        <v>45</v>
      </c>
      <c r="AH112" t="s">
        <v>3636</v>
      </c>
      <c r="AI112" t="str">
        <f t="shared" si="13"/>
        <v>Low-Risk</v>
      </c>
    </row>
    <row r="113" spans="1:35" x14ac:dyDescent="0.35">
      <c r="A113" t="s">
        <v>482</v>
      </c>
      <c r="B113" t="s">
        <v>483</v>
      </c>
      <c r="C113" t="s">
        <v>484</v>
      </c>
      <c r="D113" s="1">
        <v>44760</v>
      </c>
      <c r="E113" s="1" t="str">
        <f t="shared" si="7"/>
        <v>18</v>
      </c>
      <c r="F113" s="1" t="str">
        <f t="shared" si="8"/>
        <v>Jul</v>
      </c>
      <c r="G113" s="6" t="s">
        <v>71</v>
      </c>
      <c r="H113" s="5">
        <v>1290.45</v>
      </c>
      <c r="I113" s="5" t="str">
        <f>IF(fin_table[[#This Row],[Account Balance]]&lt;20000,"Active", "Not Active")</f>
        <v>Active</v>
      </c>
      <c r="J113" s="5">
        <v>15542.55</v>
      </c>
      <c r="K113" s="5" t="str">
        <f t="shared" si="9"/>
        <v>Medium</v>
      </c>
      <c r="L113" s="6" t="s">
        <v>24</v>
      </c>
      <c r="M113">
        <v>31</v>
      </c>
      <c r="N113" s="6" t="str">
        <f t="shared" si="10"/>
        <v>Adults</v>
      </c>
      <c r="O113" s="6" t="s">
        <v>25</v>
      </c>
      <c r="P113" s="6" t="s">
        <v>26</v>
      </c>
      <c r="Q113" t="s">
        <v>485</v>
      </c>
      <c r="R113" s="6" t="s">
        <v>52</v>
      </c>
      <c r="S113" s="6" t="s">
        <v>62</v>
      </c>
      <c r="T113" s="14">
        <v>4.1399999999999999E-2</v>
      </c>
      <c r="U113">
        <v>4.1399999999999997</v>
      </c>
      <c r="V113" t="str">
        <f>IF(fin_table[[#This Row],[Interest Rate(%)]]&gt;4,"high","low")</f>
        <v>high</v>
      </c>
      <c r="W113" s="5">
        <v>43299.99</v>
      </c>
      <c r="X113" s="5">
        <f>fin_table[[#This Row],[Interest Rate]]*fin_table[[#This Row],[Loan Amount]]</f>
        <v>1792.6195859999998</v>
      </c>
      <c r="Y113">
        <v>13</v>
      </c>
      <c r="Z113" s="3">
        <v>727</v>
      </c>
      <c r="AA113" s="3" t="str">
        <f t="shared" si="11"/>
        <v>Good</v>
      </c>
      <c r="AB113" s="3" cm="1">
        <f t="array" ref="AB113">_xlfn.IFS(fin_table[[#This Row],[Transaction Status]]="Failed", 1, fin_table[[#This Row],[Transaction Status]]="Completed",0,fin_table[[#This Row],[Transaction Status]]="Pending",2)</f>
        <v>2</v>
      </c>
      <c r="AC113" s="3" t="str">
        <f>IF(fin_table[[#This Row],[Loan Defaulters]]=1,"Default", "Good")</f>
        <v>Good</v>
      </c>
      <c r="AD113" s="3">
        <f t="shared" si="12"/>
        <v>3</v>
      </c>
      <c r="AE113" s="4">
        <v>4466.93</v>
      </c>
      <c r="AF113" s="4" t="str">
        <f>IF(fin_table[[#This Row],[Monthly Income]]&lt;3000, "Low Income", IF(fin_table[[#This Row],[Monthly Income]]&lt;=5000, "Middle Income", "High Income"))</f>
        <v>Middle Income</v>
      </c>
      <c r="AG113" t="s">
        <v>30</v>
      </c>
      <c r="AH113" t="s">
        <v>3636</v>
      </c>
      <c r="AI113" t="str">
        <f t="shared" si="13"/>
        <v>Low-Risk</v>
      </c>
    </row>
    <row r="114" spans="1:35" x14ac:dyDescent="0.35">
      <c r="A114" t="s">
        <v>486</v>
      </c>
      <c r="B114" t="s">
        <v>487</v>
      </c>
      <c r="C114" t="s">
        <v>488</v>
      </c>
      <c r="D114" s="1">
        <v>44820</v>
      </c>
      <c r="E114" s="1" t="str">
        <f t="shared" si="7"/>
        <v>16</v>
      </c>
      <c r="F114" s="1" t="str">
        <f t="shared" si="8"/>
        <v>Sep</v>
      </c>
      <c r="G114" s="6" t="s">
        <v>23</v>
      </c>
      <c r="H114" s="5">
        <v>776.58</v>
      </c>
      <c r="I114" s="5" t="str">
        <f>IF(fin_table[[#This Row],[Account Balance]]&lt;20000,"Active", "Not Active")</f>
        <v>Not Active</v>
      </c>
      <c r="J114" s="5">
        <v>27527.11</v>
      </c>
      <c r="K114" s="5" t="str">
        <f t="shared" si="9"/>
        <v>Medium</v>
      </c>
      <c r="L114" s="6" t="s">
        <v>49</v>
      </c>
      <c r="M114">
        <v>33</v>
      </c>
      <c r="N114" s="6" t="str">
        <f t="shared" si="10"/>
        <v>Adults</v>
      </c>
      <c r="O114" s="6" t="s">
        <v>25</v>
      </c>
      <c r="P114" s="6" t="s">
        <v>36</v>
      </c>
      <c r="Q114" t="s">
        <v>489</v>
      </c>
      <c r="R114" s="6" t="s">
        <v>38</v>
      </c>
      <c r="S114" s="6" t="s">
        <v>62</v>
      </c>
      <c r="T114" s="14">
        <v>3.5900000000000001E-2</v>
      </c>
      <c r="U114">
        <v>3.59</v>
      </c>
      <c r="V114" t="str">
        <f>IF(fin_table[[#This Row],[Interest Rate(%)]]&gt;4,"high","low")</f>
        <v>low</v>
      </c>
      <c r="W114" s="5">
        <v>24233.200000000001</v>
      </c>
      <c r="X114" s="5">
        <f>fin_table[[#This Row],[Interest Rate]]*fin_table[[#This Row],[Loan Amount]]</f>
        <v>869.97188000000006</v>
      </c>
      <c r="Y114">
        <v>10</v>
      </c>
      <c r="Z114" s="3">
        <v>695</v>
      </c>
      <c r="AA114" s="3" t="str">
        <f t="shared" si="11"/>
        <v>Good</v>
      </c>
      <c r="AB114" s="3" cm="1">
        <f t="array" ref="AB114">_xlfn.IFS(fin_table[[#This Row],[Transaction Status]]="Failed", 1, fin_table[[#This Row],[Transaction Status]]="Completed",0,fin_table[[#This Row],[Transaction Status]]="Pending",2)</f>
        <v>2</v>
      </c>
      <c r="AC114" s="3" t="str">
        <f>IF(fin_table[[#This Row],[Loan Defaulters]]=1,"Default", "Good")</f>
        <v>Good</v>
      </c>
      <c r="AD114" s="3">
        <f t="shared" si="12"/>
        <v>3</v>
      </c>
      <c r="AE114" s="4">
        <v>14044.51</v>
      </c>
      <c r="AF114" s="4" t="str">
        <f>IF(fin_table[[#This Row],[Monthly Income]]&lt;3000, "Low Income", IF(fin_table[[#This Row],[Monthly Income]]&lt;=5000, "Middle Income", "High Income"))</f>
        <v>High Income</v>
      </c>
      <c r="AG114" t="s">
        <v>45</v>
      </c>
      <c r="AH114" t="s">
        <v>3636</v>
      </c>
      <c r="AI114" t="str">
        <f t="shared" si="13"/>
        <v>Low-Risk</v>
      </c>
    </row>
    <row r="115" spans="1:35" x14ac:dyDescent="0.35">
      <c r="A115" t="s">
        <v>490</v>
      </c>
      <c r="B115" t="s">
        <v>491</v>
      </c>
      <c r="C115" t="s">
        <v>492</v>
      </c>
      <c r="D115" s="1">
        <v>44989</v>
      </c>
      <c r="E115" s="1" t="str">
        <f t="shared" si="7"/>
        <v>04</v>
      </c>
      <c r="F115" s="1" t="str">
        <f t="shared" si="8"/>
        <v>Mar</v>
      </c>
      <c r="G115" s="6" t="s">
        <v>34</v>
      </c>
      <c r="H115" s="5">
        <v>2706.83</v>
      </c>
      <c r="I115" s="5" t="str">
        <f>IF(fin_table[[#This Row],[Account Balance]]&lt;20000,"Active", "Not Active")</f>
        <v>Active</v>
      </c>
      <c r="J115" s="5">
        <v>17916.27</v>
      </c>
      <c r="K115" s="5" t="str">
        <f t="shared" si="9"/>
        <v>Medium</v>
      </c>
      <c r="L115" s="6" t="s">
        <v>49</v>
      </c>
      <c r="M115">
        <v>36</v>
      </c>
      <c r="N115" s="6" t="str">
        <f t="shared" si="10"/>
        <v>Middle-Aged</v>
      </c>
      <c r="O115" s="6" t="s">
        <v>42</v>
      </c>
      <c r="P115" s="6" t="s">
        <v>50</v>
      </c>
      <c r="Q115" t="s">
        <v>493</v>
      </c>
      <c r="R115" s="6" t="s">
        <v>38</v>
      </c>
      <c r="S115" s="6" t="s">
        <v>44</v>
      </c>
      <c r="T115" s="14">
        <v>3.9899999999999998E-2</v>
      </c>
      <c r="U115">
        <v>3.99</v>
      </c>
      <c r="V115" t="str">
        <f>IF(fin_table[[#This Row],[Interest Rate(%)]]&gt;4,"high","low")</f>
        <v>low</v>
      </c>
      <c r="W115" s="5">
        <v>48288.99</v>
      </c>
      <c r="X115" s="5">
        <f>fin_table[[#This Row],[Interest Rate]]*fin_table[[#This Row],[Loan Amount]]</f>
        <v>1926.7307009999997</v>
      </c>
      <c r="Y115">
        <v>13</v>
      </c>
      <c r="Z115" s="3">
        <v>508</v>
      </c>
      <c r="AA115" s="3" t="str">
        <f t="shared" si="11"/>
        <v>Poor</v>
      </c>
      <c r="AB115" s="3" cm="1">
        <f t="array" ref="AB115">_xlfn.IFS(fin_table[[#This Row],[Transaction Status]]="Failed", 1, fin_table[[#This Row],[Transaction Status]]="Completed",0,fin_table[[#This Row],[Transaction Status]]="Pending",2)</f>
        <v>0</v>
      </c>
      <c r="AC115" s="3" t="str">
        <f>IF(fin_table[[#This Row],[Loan Defaulters]]=1,"Default", "Good")</f>
        <v>Good</v>
      </c>
      <c r="AD115" s="3">
        <f t="shared" si="12"/>
        <v>1</v>
      </c>
      <c r="AE115" s="4">
        <v>2418.8000000000002</v>
      </c>
      <c r="AF115" s="4" t="str">
        <f>IF(fin_table[[#This Row],[Monthly Income]]&lt;3000, "Low Income", IF(fin_table[[#This Row],[Monthly Income]]&lt;=5000, "Middle Income", "High Income"))</f>
        <v>Low Income</v>
      </c>
      <c r="AG115" t="s">
        <v>63</v>
      </c>
      <c r="AH115" t="s">
        <v>3636</v>
      </c>
      <c r="AI115" t="str">
        <f t="shared" si="13"/>
        <v>High-Risk</v>
      </c>
    </row>
    <row r="116" spans="1:35" x14ac:dyDescent="0.35">
      <c r="A116" t="s">
        <v>494</v>
      </c>
      <c r="B116" t="s">
        <v>495</v>
      </c>
      <c r="C116" t="s">
        <v>496</v>
      </c>
      <c r="D116" s="1">
        <v>45127</v>
      </c>
      <c r="E116" s="1" t="str">
        <f t="shared" si="7"/>
        <v>20</v>
      </c>
      <c r="F116" s="1" t="str">
        <f t="shared" si="8"/>
        <v>Jul</v>
      </c>
      <c r="G116" s="6" t="s">
        <v>23</v>
      </c>
      <c r="H116" s="5">
        <v>556.62</v>
      </c>
      <c r="I116" s="5" t="str">
        <f>IF(fin_table[[#This Row],[Account Balance]]&lt;20000,"Active", "Not Active")</f>
        <v>Not Active</v>
      </c>
      <c r="J116" s="5">
        <v>21295.85</v>
      </c>
      <c r="K116" s="5" t="str">
        <f t="shared" si="9"/>
        <v>Medium</v>
      </c>
      <c r="L116" s="6" t="s">
        <v>125</v>
      </c>
      <c r="M116">
        <v>51</v>
      </c>
      <c r="N116" s="6" t="str">
        <f t="shared" si="10"/>
        <v>Older Adults</v>
      </c>
      <c r="O116" s="6" t="s">
        <v>25</v>
      </c>
      <c r="P116" s="6" t="s">
        <v>36</v>
      </c>
      <c r="Q116" t="s">
        <v>497</v>
      </c>
      <c r="R116" s="6" t="s">
        <v>28</v>
      </c>
      <c r="S116" s="6" t="s">
        <v>62</v>
      </c>
      <c r="T116" s="14">
        <v>4.6199999999999998E-2</v>
      </c>
      <c r="U116">
        <v>4.62</v>
      </c>
      <c r="V116" t="str">
        <f>IF(fin_table[[#This Row],[Interest Rate(%)]]&gt;4,"high","low")</f>
        <v>high</v>
      </c>
      <c r="W116" s="5">
        <v>37530.550000000003</v>
      </c>
      <c r="X116" s="5">
        <f>fin_table[[#This Row],[Interest Rate]]*fin_table[[#This Row],[Loan Amount]]</f>
        <v>1733.9114100000002</v>
      </c>
      <c r="Y116">
        <v>21</v>
      </c>
      <c r="Z116" s="3">
        <v>800</v>
      </c>
      <c r="AA116" s="3" t="str">
        <f t="shared" si="11"/>
        <v>Excellent</v>
      </c>
      <c r="AB116" s="3" cm="1">
        <f t="array" ref="AB116">_xlfn.IFS(fin_table[[#This Row],[Transaction Status]]="Failed", 1, fin_table[[#This Row],[Transaction Status]]="Completed",0,fin_table[[#This Row],[Transaction Status]]="Pending",2)</f>
        <v>2</v>
      </c>
      <c r="AC116" s="3" t="str">
        <f>IF(fin_table[[#This Row],[Loan Defaulters]]=1,"Default", "Good")</f>
        <v>Good</v>
      </c>
      <c r="AD116" s="3">
        <f t="shared" si="12"/>
        <v>5</v>
      </c>
      <c r="AE116" s="4">
        <v>8012.95</v>
      </c>
      <c r="AF116" s="4" t="str">
        <f>IF(fin_table[[#This Row],[Monthly Income]]&lt;3000, "Low Income", IF(fin_table[[#This Row],[Monthly Income]]&lt;=5000, "Middle Income", "High Income"))</f>
        <v>High Income</v>
      </c>
      <c r="AG116" t="s">
        <v>30</v>
      </c>
      <c r="AH116" t="s">
        <v>3636</v>
      </c>
      <c r="AI116" t="str">
        <f t="shared" si="13"/>
        <v>Low-Risk</v>
      </c>
    </row>
    <row r="117" spans="1:35" x14ac:dyDescent="0.35">
      <c r="A117" t="s">
        <v>498</v>
      </c>
      <c r="B117" t="s">
        <v>499</v>
      </c>
      <c r="C117" t="s">
        <v>500</v>
      </c>
      <c r="D117" s="1">
        <v>44990</v>
      </c>
      <c r="E117" s="1" t="str">
        <f t="shared" si="7"/>
        <v>05</v>
      </c>
      <c r="F117" s="1" t="str">
        <f t="shared" si="8"/>
        <v>Mar</v>
      </c>
      <c r="G117" s="6" t="s">
        <v>56</v>
      </c>
      <c r="H117" s="5">
        <v>5714.99</v>
      </c>
      <c r="I117" s="5" t="str">
        <f>IF(fin_table[[#This Row],[Account Balance]]&lt;20000,"Active", "Not Active")</f>
        <v>Not Active</v>
      </c>
      <c r="J117" s="5">
        <v>36888.28</v>
      </c>
      <c r="K117" s="5" t="str">
        <f t="shared" si="9"/>
        <v>Medium</v>
      </c>
      <c r="L117" s="6" t="s">
        <v>49</v>
      </c>
      <c r="M117">
        <v>61</v>
      </c>
      <c r="N117" s="6" t="str">
        <f t="shared" si="10"/>
        <v>Seniors</v>
      </c>
      <c r="O117" s="6" t="s">
        <v>42</v>
      </c>
      <c r="P117" s="6" t="s">
        <v>26</v>
      </c>
      <c r="Q117" t="s">
        <v>501</v>
      </c>
      <c r="R117" s="6" t="s">
        <v>28</v>
      </c>
      <c r="S117" s="6" t="s">
        <v>62</v>
      </c>
      <c r="T117" s="14">
        <v>4.4499999999999998E-2</v>
      </c>
      <c r="U117">
        <v>4.45</v>
      </c>
      <c r="V117" t="str">
        <f>IF(fin_table[[#This Row],[Interest Rate(%)]]&gt;4,"high","low")</f>
        <v>high</v>
      </c>
      <c r="W117" s="5">
        <v>34005.339999999997</v>
      </c>
      <c r="X117" s="5">
        <f>fin_table[[#This Row],[Interest Rate]]*fin_table[[#This Row],[Loan Amount]]</f>
        <v>1513.2376299999999</v>
      </c>
      <c r="Y117">
        <v>9</v>
      </c>
      <c r="Z117" s="3">
        <v>762</v>
      </c>
      <c r="AA117" s="3" t="str">
        <f t="shared" si="11"/>
        <v>Very Good</v>
      </c>
      <c r="AB117" s="3" cm="1">
        <f t="array" ref="AB117">_xlfn.IFS(fin_table[[#This Row],[Transaction Status]]="Failed", 1, fin_table[[#This Row],[Transaction Status]]="Completed",0,fin_table[[#This Row],[Transaction Status]]="Pending",2)</f>
        <v>2</v>
      </c>
      <c r="AC117" s="3" t="str">
        <f>IF(fin_table[[#This Row],[Loan Defaulters]]=1,"Default", "Good")</f>
        <v>Good</v>
      </c>
      <c r="AD117" s="3">
        <f t="shared" si="12"/>
        <v>4</v>
      </c>
      <c r="AE117" s="4">
        <v>6075.18</v>
      </c>
      <c r="AF117" s="4" t="str">
        <f>IF(fin_table[[#This Row],[Monthly Income]]&lt;3000, "Low Income", IF(fin_table[[#This Row],[Monthly Income]]&lt;=5000, "Middle Income", "High Income"))</f>
        <v>High Income</v>
      </c>
      <c r="AG117" t="s">
        <v>45</v>
      </c>
      <c r="AH117" t="s">
        <v>3636</v>
      </c>
      <c r="AI117" t="str">
        <f t="shared" si="13"/>
        <v>Low-Risk</v>
      </c>
    </row>
    <row r="118" spans="1:35" x14ac:dyDescent="0.35">
      <c r="A118" t="s">
        <v>502</v>
      </c>
      <c r="B118" t="s">
        <v>503</v>
      </c>
      <c r="C118" t="s">
        <v>504</v>
      </c>
      <c r="D118" s="1">
        <v>45114</v>
      </c>
      <c r="E118" s="1" t="str">
        <f t="shared" si="7"/>
        <v>07</v>
      </c>
      <c r="F118" s="1" t="str">
        <f t="shared" si="8"/>
        <v>Jul</v>
      </c>
      <c r="G118" s="6" t="s">
        <v>71</v>
      </c>
      <c r="H118" s="5">
        <v>2909.9</v>
      </c>
      <c r="I118" s="5" t="str">
        <f>IF(fin_table[[#This Row],[Account Balance]]&lt;20000,"Active", "Not Active")</f>
        <v>Not Active</v>
      </c>
      <c r="J118" s="5">
        <v>44201.46</v>
      </c>
      <c r="K118" s="5" t="str">
        <f t="shared" si="9"/>
        <v>Medium</v>
      </c>
      <c r="L118" s="6" t="s">
        <v>125</v>
      </c>
      <c r="M118">
        <v>63</v>
      </c>
      <c r="N118" s="6" t="str">
        <f t="shared" si="10"/>
        <v>Seniors</v>
      </c>
      <c r="O118" s="6" t="s">
        <v>42</v>
      </c>
      <c r="P118" s="6" t="s">
        <v>26</v>
      </c>
      <c r="Q118" t="s">
        <v>505</v>
      </c>
      <c r="R118" s="6" t="s">
        <v>38</v>
      </c>
      <c r="S118" s="6" t="s">
        <v>29</v>
      </c>
      <c r="T118" s="14">
        <v>3.6999999999999998E-2</v>
      </c>
      <c r="U118">
        <v>3.6999999999999998E-2</v>
      </c>
      <c r="V118" t="str">
        <f>IF(fin_table[[#This Row],[Interest Rate(%)]]&gt;4,"high","low")</f>
        <v>low</v>
      </c>
      <c r="W118" s="5">
        <v>37775.879999999997</v>
      </c>
      <c r="X118" s="5">
        <f>fin_table[[#This Row],[Interest Rate]]*fin_table[[#This Row],[Loan Amount]]</f>
        <v>1397.7075599999998</v>
      </c>
      <c r="Y118">
        <v>15</v>
      </c>
      <c r="Z118" s="3">
        <v>526</v>
      </c>
      <c r="AA118" s="3" t="str">
        <f t="shared" si="11"/>
        <v>Poor</v>
      </c>
      <c r="AB118" s="3" cm="1">
        <f t="array" ref="AB118">_xlfn.IFS(fin_table[[#This Row],[Transaction Status]]="Failed", 1, fin_table[[#This Row],[Transaction Status]]="Completed",0,fin_table[[#This Row],[Transaction Status]]="Pending",2)</f>
        <v>1</v>
      </c>
      <c r="AC118" s="3" t="str">
        <f>IF(fin_table[[#This Row],[Loan Defaulters]]=1,"Default", "Good")</f>
        <v>Default</v>
      </c>
      <c r="AD118" s="3">
        <f t="shared" si="12"/>
        <v>1</v>
      </c>
      <c r="AE118" s="4">
        <v>10646.01</v>
      </c>
      <c r="AF118" s="4" t="str">
        <f>IF(fin_table[[#This Row],[Monthly Income]]&lt;3000, "Low Income", IF(fin_table[[#This Row],[Monthly Income]]&lt;=5000, "Middle Income", "High Income"))</f>
        <v>High Income</v>
      </c>
      <c r="AG118" t="s">
        <v>63</v>
      </c>
      <c r="AH118" t="s">
        <v>3636</v>
      </c>
      <c r="AI118" t="str">
        <f t="shared" si="13"/>
        <v>High-Risk</v>
      </c>
    </row>
    <row r="119" spans="1:35" x14ac:dyDescent="0.35">
      <c r="A119" t="s">
        <v>506</v>
      </c>
      <c r="B119" t="s">
        <v>507</v>
      </c>
      <c r="C119" t="s">
        <v>508</v>
      </c>
      <c r="D119" s="1">
        <v>44573</v>
      </c>
      <c r="E119" s="1" t="str">
        <f t="shared" si="7"/>
        <v>12</v>
      </c>
      <c r="F119" s="1" t="str">
        <f t="shared" si="8"/>
        <v>Jan</v>
      </c>
      <c r="G119" s="6" t="s">
        <v>34</v>
      </c>
      <c r="H119" s="5">
        <v>8262.89</v>
      </c>
      <c r="I119" s="5" t="str">
        <f>IF(fin_table[[#This Row],[Account Balance]]&lt;20000,"Active", "Not Active")</f>
        <v>Active</v>
      </c>
      <c r="J119" s="5">
        <v>6953.27</v>
      </c>
      <c r="K119" s="5" t="str">
        <f t="shared" si="9"/>
        <v>Low</v>
      </c>
      <c r="L119" s="6" t="s">
        <v>35</v>
      </c>
      <c r="M119">
        <v>23</v>
      </c>
      <c r="N119" s="6" t="str">
        <f t="shared" si="10"/>
        <v>Young Adults</v>
      </c>
      <c r="O119" s="6" t="s">
        <v>25</v>
      </c>
      <c r="P119" s="6" t="s">
        <v>26</v>
      </c>
      <c r="Q119" t="s">
        <v>340</v>
      </c>
      <c r="R119" s="6" t="s">
        <v>38</v>
      </c>
      <c r="S119" s="6" t="s">
        <v>29</v>
      </c>
      <c r="T119" s="14">
        <v>1.8599999999999998E-2</v>
      </c>
      <c r="U119">
        <v>1.86</v>
      </c>
      <c r="V119" t="str">
        <f>IF(fin_table[[#This Row],[Interest Rate(%)]]&gt;4,"high","low")</f>
        <v>low</v>
      </c>
      <c r="W119" s="5">
        <v>26514.37</v>
      </c>
      <c r="X119" s="5">
        <f>fin_table[[#This Row],[Interest Rate]]*fin_table[[#This Row],[Loan Amount]]</f>
        <v>493.16728199999994</v>
      </c>
      <c r="Y119">
        <v>28</v>
      </c>
      <c r="Z119" s="3">
        <v>674</v>
      </c>
      <c r="AA119" s="3" t="str">
        <f t="shared" si="11"/>
        <v>Good</v>
      </c>
      <c r="AB119" s="3" cm="1">
        <f t="array" ref="AB119">_xlfn.IFS(fin_table[[#This Row],[Transaction Status]]="Failed", 1, fin_table[[#This Row],[Transaction Status]]="Completed",0,fin_table[[#This Row],[Transaction Status]]="Pending",2)</f>
        <v>1</v>
      </c>
      <c r="AC119" s="3" t="str">
        <f>IF(fin_table[[#This Row],[Loan Defaulters]]=1,"Default", "Good")</f>
        <v>Default</v>
      </c>
      <c r="AD119" s="3">
        <f t="shared" si="12"/>
        <v>3</v>
      </c>
      <c r="AE119" s="4">
        <v>12915.18</v>
      </c>
      <c r="AF119" s="4" t="str">
        <f>IF(fin_table[[#This Row],[Monthly Income]]&lt;3000, "Low Income", IF(fin_table[[#This Row],[Monthly Income]]&lt;=5000, "Middle Income", "High Income"))</f>
        <v>High Income</v>
      </c>
      <c r="AG119" t="s">
        <v>63</v>
      </c>
      <c r="AH119" t="s">
        <v>3636</v>
      </c>
      <c r="AI119" t="str">
        <f t="shared" si="13"/>
        <v>Low-Risk</v>
      </c>
    </row>
    <row r="120" spans="1:35" x14ac:dyDescent="0.35">
      <c r="A120" t="s">
        <v>509</v>
      </c>
      <c r="B120" t="s">
        <v>510</v>
      </c>
      <c r="C120" t="s">
        <v>511</v>
      </c>
      <c r="D120" s="1">
        <v>44730</v>
      </c>
      <c r="E120" s="1" t="str">
        <f t="shared" si="7"/>
        <v>18</v>
      </c>
      <c r="F120" s="1" t="str">
        <f t="shared" si="8"/>
        <v>Jun</v>
      </c>
      <c r="G120" s="6" t="s">
        <v>34</v>
      </c>
      <c r="H120" s="5">
        <v>834.98</v>
      </c>
      <c r="I120" s="5" t="str">
        <f>IF(fin_table[[#This Row],[Account Balance]]&lt;20000,"Active", "Not Active")</f>
        <v>Not Active</v>
      </c>
      <c r="J120" s="5">
        <v>32097.32</v>
      </c>
      <c r="K120" s="5" t="str">
        <f t="shared" si="9"/>
        <v>Medium</v>
      </c>
      <c r="L120" s="6" t="s">
        <v>24</v>
      </c>
      <c r="M120">
        <v>30</v>
      </c>
      <c r="N120" s="6" t="str">
        <f t="shared" si="10"/>
        <v>Adults</v>
      </c>
      <c r="O120" s="6" t="s">
        <v>25</v>
      </c>
      <c r="P120" s="6" t="s">
        <v>50</v>
      </c>
      <c r="Q120" t="s">
        <v>512</v>
      </c>
      <c r="R120" s="6" t="s">
        <v>52</v>
      </c>
      <c r="S120" s="6" t="s">
        <v>29</v>
      </c>
      <c r="T120" s="14">
        <v>3.5499999999999997E-2</v>
      </c>
      <c r="U120">
        <v>3.55</v>
      </c>
      <c r="V120" t="str">
        <f>IF(fin_table[[#This Row],[Interest Rate(%)]]&gt;4,"high","low")</f>
        <v>low</v>
      </c>
      <c r="W120" s="5">
        <v>27735.19</v>
      </c>
      <c r="X120" s="5">
        <f>fin_table[[#This Row],[Interest Rate]]*fin_table[[#This Row],[Loan Amount]]</f>
        <v>984.59924499999988</v>
      </c>
      <c r="Y120">
        <v>13</v>
      </c>
      <c r="Z120" s="3">
        <v>799</v>
      </c>
      <c r="AA120" s="3" t="str">
        <f t="shared" si="11"/>
        <v>Very Good</v>
      </c>
      <c r="AB120" s="3" cm="1">
        <f t="array" ref="AB120">_xlfn.IFS(fin_table[[#This Row],[Transaction Status]]="Failed", 1, fin_table[[#This Row],[Transaction Status]]="Completed",0,fin_table[[#This Row],[Transaction Status]]="Pending",2)</f>
        <v>1</v>
      </c>
      <c r="AC120" s="3" t="str">
        <f>IF(fin_table[[#This Row],[Loan Defaulters]]=1,"Default", "Good")</f>
        <v>Default</v>
      </c>
      <c r="AD120" s="3">
        <f t="shared" si="12"/>
        <v>4</v>
      </c>
      <c r="AE120" s="4">
        <v>6684.92</v>
      </c>
      <c r="AF120" s="4" t="str">
        <f>IF(fin_table[[#This Row],[Monthly Income]]&lt;3000, "Low Income", IF(fin_table[[#This Row],[Monthly Income]]&lt;=5000, "Middle Income", "High Income"))</f>
        <v>High Income</v>
      </c>
      <c r="AG120" t="s">
        <v>30</v>
      </c>
      <c r="AH120" t="s">
        <v>3636</v>
      </c>
      <c r="AI120" t="str">
        <f t="shared" si="13"/>
        <v>Low-Risk</v>
      </c>
    </row>
    <row r="121" spans="1:35" x14ac:dyDescent="0.35">
      <c r="A121" t="s">
        <v>513</v>
      </c>
      <c r="B121" t="s">
        <v>514</v>
      </c>
      <c r="C121" t="s">
        <v>515</v>
      </c>
      <c r="D121" s="1">
        <v>44814</v>
      </c>
      <c r="E121" s="1" t="str">
        <f t="shared" si="7"/>
        <v>10</v>
      </c>
      <c r="F121" s="1" t="str">
        <f t="shared" si="8"/>
        <v>Sep</v>
      </c>
      <c r="G121" s="6" t="s">
        <v>34</v>
      </c>
      <c r="H121" s="5">
        <v>2340.88</v>
      </c>
      <c r="I121" s="5" t="str">
        <f>IF(fin_table[[#This Row],[Account Balance]]&lt;20000,"Active", "Not Active")</f>
        <v>Not Active</v>
      </c>
      <c r="J121" s="5">
        <v>29525.05</v>
      </c>
      <c r="K121" s="5" t="str">
        <f t="shared" si="9"/>
        <v>Medium</v>
      </c>
      <c r="L121" s="6" t="s">
        <v>100</v>
      </c>
      <c r="M121">
        <v>53</v>
      </c>
      <c r="N121" s="6" t="str">
        <f t="shared" si="10"/>
        <v>Older Adults</v>
      </c>
      <c r="O121" s="6" t="s">
        <v>25</v>
      </c>
      <c r="P121" s="6" t="s">
        <v>26</v>
      </c>
      <c r="Q121" t="s">
        <v>516</v>
      </c>
      <c r="R121" s="6" t="s">
        <v>52</v>
      </c>
      <c r="S121" s="6" t="s">
        <v>44</v>
      </c>
      <c r="T121" s="14">
        <v>3.0200000000000001E-2</v>
      </c>
      <c r="U121">
        <v>3.02</v>
      </c>
      <c r="V121" t="str">
        <f>IF(fin_table[[#This Row],[Interest Rate(%)]]&gt;4,"high","low")</f>
        <v>low</v>
      </c>
      <c r="W121" s="5">
        <v>26681.654999999999</v>
      </c>
      <c r="X121" s="5">
        <f>fin_table[[#This Row],[Interest Rate]]*fin_table[[#This Row],[Loan Amount]]</f>
        <v>805.78598099999999</v>
      </c>
      <c r="Y121">
        <v>13</v>
      </c>
      <c r="Z121" s="3">
        <v>392</v>
      </c>
      <c r="AA121" s="3" t="str">
        <f t="shared" si="11"/>
        <v>Poor</v>
      </c>
      <c r="AB121" s="3" cm="1">
        <f t="array" ref="AB121">_xlfn.IFS(fin_table[[#This Row],[Transaction Status]]="Failed", 1, fin_table[[#This Row],[Transaction Status]]="Completed",0,fin_table[[#This Row],[Transaction Status]]="Pending",2)</f>
        <v>0</v>
      </c>
      <c r="AC121" s="3" t="str">
        <f>IF(fin_table[[#This Row],[Loan Defaulters]]=1,"Default", "Good")</f>
        <v>Good</v>
      </c>
      <c r="AD121" s="3">
        <f t="shared" si="12"/>
        <v>1</v>
      </c>
      <c r="AE121" s="4">
        <v>7549.73</v>
      </c>
      <c r="AF121" s="4" t="str">
        <f>IF(fin_table[[#This Row],[Monthly Income]]&lt;3000, "Low Income", IF(fin_table[[#This Row],[Monthly Income]]&lt;=5000, "Middle Income", "High Income"))</f>
        <v>High Income</v>
      </c>
      <c r="AG121" t="s">
        <v>63</v>
      </c>
      <c r="AH121" t="s">
        <v>3635</v>
      </c>
      <c r="AI121" t="str">
        <f t="shared" si="13"/>
        <v>Low-Risk</v>
      </c>
    </row>
    <row r="122" spans="1:35" x14ac:dyDescent="0.35">
      <c r="A122" t="s">
        <v>517</v>
      </c>
      <c r="B122" t="s">
        <v>518</v>
      </c>
      <c r="C122" t="s">
        <v>519</v>
      </c>
      <c r="D122" s="1">
        <v>44833</v>
      </c>
      <c r="E122" s="1" t="str">
        <f t="shared" si="7"/>
        <v>29</v>
      </c>
      <c r="F122" s="1" t="str">
        <f t="shared" si="8"/>
        <v>Sep</v>
      </c>
      <c r="G122" s="6" t="s">
        <v>71</v>
      </c>
      <c r="H122" s="5">
        <v>7329.44</v>
      </c>
      <c r="I122" s="5" t="str">
        <f>IF(fin_table[[#This Row],[Account Balance]]&lt;20000,"Active", "Not Active")</f>
        <v>Active</v>
      </c>
      <c r="J122" s="5">
        <v>6802.34</v>
      </c>
      <c r="K122" s="5" t="str">
        <f t="shared" si="9"/>
        <v>Low</v>
      </c>
      <c r="L122" s="6" t="s">
        <v>24</v>
      </c>
      <c r="M122">
        <v>39</v>
      </c>
      <c r="N122" s="6" t="str">
        <f t="shared" si="10"/>
        <v>Middle-Aged</v>
      </c>
      <c r="O122" s="6" t="s">
        <v>42</v>
      </c>
      <c r="P122" s="6" t="s">
        <v>50</v>
      </c>
      <c r="Q122" t="s">
        <v>520</v>
      </c>
      <c r="R122" s="6" t="s">
        <v>38</v>
      </c>
      <c r="S122" s="6" t="s">
        <v>62</v>
      </c>
      <c r="T122" s="14">
        <v>3.8699999999999998E-2</v>
      </c>
      <c r="U122">
        <v>3.87</v>
      </c>
      <c r="V122" t="str">
        <f>IF(fin_table[[#This Row],[Interest Rate(%)]]&gt;4,"high","low")</f>
        <v>low</v>
      </c>
      <c r="W122" s="5">
        <v>26681.654999999999</v>
      </c>
      <c r="X122" s="5">
        <f>fin_table[[#This Row],[Interest Rate]]*fin_table[[#This Row],[Loan Amount]]</f>
        <v>1032.5800485</v>
      </c>
      <c r="Y122">
        <v>28</v>
      </c>
      <c r="Z122" s="3">
        <v>759</v>
      </c>
      <c r="AA122" s="3" t="str">
        <f t="shared" si="11"/>
        <v>Very Good</v>
      </c>
      <c r="AB122" s="3" cm="1">
        <f t="array" ref="AB122">_xlfn.IFS(fin_table[[#This Row],[Transaction Status]]="Failed", 1, fin_table[[#This Row],[Transaction Status]]="Completed",0,fin_table[[#This Row],[Transaction Status]]="Pending",2)</f>
        <v>2</v>
      </c>
      <c r="AC122" s="3" t="str">
        <f>IF(fin_table[[#This Row],[Loan Defaulters]]=1,"Default", "Good")</f>
        <v>Good</v>
      </c>
      <c r="AD122" s="3">
        <f t="shared" si="12"/>
        <v>4</v>
      </c>
      <c r="AE122" s="4">
        <v>14764.93</v>
      </c>
      <c r="AF122" s="4" t="str">
        <f>IF(fin_table[[#This Row],[Monthly Income]]&lt;3000, "Low Income", IF(fin_table[[#This Row],[Monthly Income]]&lt;=5000, "Middle Income", "High Income"))</f>
        <v>High Income</v>
      </c>
      <c r="AG122" t="s">
        <v>45</v>
      </c>
      <c r="AH122" t="s">
        <v>3635</v>
      </c>
      <c r="AI122" t="str">
        <f t="shared" si="13"/>
        <v>Low-Risk</v>
      </c>
    </row>
    <row r="123" spans="1:35" x14ac:dyDescent="0.35">
      <c r="A123" t="s">
        <v>521</v>
      </c>
      <c r="B123" t="s">
        <v>522</v>
      </c>
      <c r="C123" t="s">
        <v>523</v>
      </c>
      <c r="D123" s="1">
        <v>44927</v>
      </c>
      <c r="E123" s="1" t="str">
        <f t="shared" si="7"/>
        <v>01</v>
      </c>
      <c r="F123" s="1" t="str">
        <f t="shared" si="8"/>
        <v>Jan</v>
      </c>
      <c r="G123" s="6" t="s">
        <v>56</v>
      </c>
      <c r="H123" s="5">
        <v>6028.2</v>
      </c>
      <c r="I123" s="5" t="str">
        <f>IF(fin_table[[#This Row],[Account Balance]]&lt;20000,"Active", "Not Active")</f>
        <v>Active</v>
      </c>
      <c r="J123" s="5">
        <v>11382.82</v>
      </c>
      <c r="K123" s="5" t="str">
        <f t="shared" si="9"/>
        <v>Medium</v>
      </c>
      <c r="L123" s="6" t="s">
        <v>125</v>
      </c>
      <c r="M123">
        <v>35</v>
      </c>
      <c r="N123" s="6" t="str">
        <f t="shared" si="10"/>
        <v>Adults</v>
      </c>
      <c r="O123" s="6" t="s">
        <v>42</v>
      </c>
      <c r="P123" s="6" t="s">
        <v>36</v>
      </c>
      <c r="Q123" t="s">
        <v>524</v>
      </c>
      <c r="R123" s="6" t="s">
        <v>28</v>
      </c>
      <c r="S123" s="6" t="s">
        <v>44</v>
      </c>
      <c r="T123" s="14">
        <v>4.3299999999999998E-2</v>
      </c>
      <c r="U123">
        <v>4.33</v>
      </c>
      <c r="V123" t="str">
        <f>IF(fin_table[[#This Row],[Interest Rate(%)]]&gt;4,"high","low")</f>
        <v>high</v>
      </c>
      <c r="W123" s="5">
        <v>26681.654999999999</v>
      </c>
      <c r="X123" s="5">
        <f>fin_table[[#This Row],[Interest Rate]]*fin_table[[#This Row],[Loan Amount]]</f>
        <v>1155.3156614999998</v>
      </c>
      <c r="Y123">
        <v>13</v>
      </c>
      <c r="Z123" s="3">
        <v>620</v>
      </c>
      <c r="AA123" s="3" t="str">
        <f t="shared" si="11"/>
        <v>Fair</v>
      </c>
      <c r="AB123" s="3" cm="1">
        <f t="array" ref="AB123">_xlfn.IFS(fin_table[[#This Row],[Transaction Status]]="Failed", 1, fin_table[[#This Row],[Transaction Status]]="Completed",0,fin_table[[#This Row],[Transaction Status]]="Pending",2)</f>
        <v>0</v>
      </c>
      <c r="AC123" s="3" t="str">
        <f>IF(fin_table[[#This Row],[Loan Defaulters]]=1,"Default", "Good")</f>
        <v>Good</v>
      </c>
      <c r="AD123" s="3">
        <f t="shared" si="12"/>
        <v>2</v>
      </c>
      <c r="AE123" s="4">
        <v>12190.91</v>
      </c>
      <c r="AF123" s="4" t="str">
        <f>IF(fin_table[[#This Row],[Monthly Income]]&lt;3000, "Low Income", IF(fin_table[[#This Row],[Monthly Income]]&lt;=5000, "Middle Income", "High Income"))</f>
        <v>High Income</v>
      </c>
      <c r="AG123" t="s">
        <v>63</v>
      </c>
      <c r="AH123" t="s">
        <v>3635</v>
      </c>
      <c r="AI123" t="str">
        <f t="shared" si="13"/>
        <v>Low-Risk</v>
      </c>
    </row>
    <row r="124" spans="1:35" x14ac:dyDescent="0.35">
      <c r="A124" t="s">
        <v>525</v>
      </c>
      <c r="B124" t="s">
        <v>526</v>
      </c>
      <c r="C124" t="s">
        <v>527</v>
      </c>
      <c r="D124" s="1">
        <v>45135</v>
      </c>
      <c r="E124" s="1" t="str">
        <f t="shared" si="7"/>
        <v>28</v>
      </c>
      <c r="F124" s="1" t="str">
        <f t="shared" si="8"/>
        <v>Jul</v>
      </c>
      <c r="G124" s="6" t="s">
        <v>34</v>
      </c>
      <c r="H124" s="5">
        <v>738.46</v>
      </c>
      <c r="I124" s="5" t="str">
        <f>IF(fin_table[[#This Row],[Account Balance]]&lt;20000,"Active", "Not Active")</f>
        <v>Active</v>
      </c>
      <c r="J124" s="5">
        <v>16239.12</v>
      </c>
      <c r="K124" s="5" t="str">
        <f t="shared" si="9"/>
        <v>Medium</v>
      </c>
      <c r="L124" s="6" t="s">
        <v>125</v>
      </c>
      <c r="M124">
        <v>29</v>
      </c>
      <c r="N124" s="6" t="str">
        <f t="shared" si="10"/>
        <v>Adults</v>
      </c>
      <c r="O124" s="6" t="s">
        <v>25</v>
      </c>
      <c r="P124" s="6" t="s">
        <v>26</v>
      </c>
      <c r="Q124" t="s">
        <v>528</v>
      </c>
      <c r="R124" s="6" t="s">
        <v>38</v>
      </c>
      <c r="S124" s="6" t="s">
        <v>62</v>
      </c>
      <c r="T124" s="14">
        <v>3.9699999999999999E-2</v>
      </c>
      <c r="U124">
        <v>3.97</v>
      </c>
      <c r="V124" t="str">
        <f>IF(fin_table[[#This Row],[Interest Rate(%)]]&gt;4,"high","low")</f>
        <v>low</v>
      </c>
      <c r="W124" s="5">
        <v>26681.654999999999</v>
      </c>
      <c r="X124" s="5">
        <f>fin_table[[#This Row],[Interest Rate]]*fin_table[[#This Row],[Loan Amount]]</f>
        <v>1059.2617034999998</v>
      </c>
      <c r="Y124">
        <v>26</v>
      </c>
      <c r="Z124" s="3">
        <v>309</v>
      </c>
      <c r="AA124" s="3" t="str">
        <f t="shared" si="11"/>
        <v>Poor</v>
      </c>
      <c r="AB124" s="3" cm="1">
        <f t="array" ref="AB124">_xlfn.IFS(fin_table[[#This Row],[Transaction Status]]="Failed", 1, fin_table[[#This Row],[Transaction Status]]="Completed",0,fin_table[[#This Row],[Transaction Status]]="Pending",2)</f>
        <v>2</v>
      </c>
      <c r="AC124" s="3" t="str">
        <f>IF(fin_table[[#This Row],[Loan Defaulters]]=1,"Default", "Good")</f>
        <v>Good</v>
      </c>
      <c r="AD124" s="3">
        <f t="shared" si="12"/>
        <v>1</v>
      </c>
      <c r="AE124" s="4">
        <v>13663.65</v>
      </c>
      <c r="AF124" s="4" t="str">
        <f>IF(fin_table[[#This Row],[Monthly Income]]&lt;3000, "Low Income", IF(fin_table[[#This Row],[Monthly Income]]&lt;=5000, "Middle Income", "High Income"))</f>
        <v>High Income</v>
      </c>
      <c r="AG124" t="s">
        <v>45</v>
      </c>
      <c r="AH124" t="s">
        <v>3635</v>
      </c>
      <c r="AI124" t="str">
        <f t="shared" si="13"/>
        <v>Low-Risk</v>
      </c>
    </row>
    <row r="125" spans="1:35" x14ac:dyDescent="0.35">
      <c r="A125" t="s">
        <v>529</v>
      </c>
      <c r="B125" t="s">
        <v>530</v>
      </c>
      <c r="C125" t="s">
        <v>531</v>
      </c>
      <c r="D125" s="1">
        <v>44748</v>
      </c>
      <c r="E125" s="1" t="str">
        <f t="shared" si="7"/>
        <v>06</v>
      </c>
      <c r="F125" s="1" t="str">
        <f t="shared" si="8"/>
        <v>Jul</v>
      </c>
      <c r="G125" s="6" t="s">
        <v>23</v>
      </c>
      <c r="H125" s="5">
        <v>8784.67</v>
      </c>
      <c r="I125" s="5" t="str">
        <f>IF(fin_table[[#This Row],[Account Balance]]&lt;20000,"Active", "Not Active")</f>
        <v>Active</v>
      </c>
      <c r="J125" s="5">
        <v>9179.6200000000008</v>
      </c>
      <c r="K125" s="5" t="str">
        <f t="shared" si="9"/>
        <v>Low</v>
      </c>
      <c r="L125" s="6" t="s">
        <v>24</v>
      </c>
      <c r="M125">
        <v>69</v>
      </c>
      <c r="N125" s="6" t="str">
        <f t="shared" si="10"/>
        <v>Seniors</v>
      </c>
      <c r="O125" s="6" t="s">
        <v>42</v>
      </c>
      <c r="P125" s="6" t="s">
        <v>26</v>
      </c>
      <c r="Q125" t="s">
        <v>105</v>
      </c>
      <c r="R125" s="6" t="s">
        <v>52</v>
      </c>
      <c r="S125" s="6" t="s">
        <v>62</v>
      </c>
      <c r="T125" s="14">
        <v>4.3900000000000002E-2</v>
      </c>
      <c r="U125">
        <v>4.3899999999999997</v>
      </c>
      <c r="V125" t="str">
        <f>IF(fin_table[[#This Row],[Interest Rate(%)]]&gt;4,"high","low")</f>
        <v>high</v>
      </c>
      <c r="W125" s="5">
        <v>26681.654999999999</v>
      </c>
      <c r="X125" s="5">
        <f>fin_table[[#This Row],[Interest Rate]]*fin_table[[#This Row],[Loan Amount]]</f>
        <v>1171.3246545</v>
      </c>
      <c r="Y125">
        <v>13</v>
      </c>
      <c r="Z125" s="3">
        <v>602</v>
      </c>
      <c r="AA125" s="3" t="str">
        <f t="shared" si="11"/>
        <v>Fair</v>
      </c>
      <c r="AB125" s="3" cm="1">
        <f t="array" ref="AB125">_xlfn.IFS(fin_table[[#This Row],[Transaction Status]]="Failed", 1, fin_table[[#This Row],[Transaction Status]]="Completed",0,fin_table[[#This Row],[Transaction Status]]="Pending",2)</f>
        <v>2</v>
      </c>
      <c r="AC125" s="3" t="str">
        <f>IF(fin_table[[#This Row],[Loan Defaulters]]=1,"Default", "Good")</f>
        <v>Good</v>
      </c>
      <c r="AD125" s="3">
        <f t="shared" si="12"/>
        <v>2</v>
      </c>
      <c r="AE125" s="4">
        <v>7703.91</v>
      </c>
      <c r="AF125" s="4" t="str">
        <f>IF(fin_table[[#This Row],[Monthly Income]]&lt;3000, "Low Income", IF(fin_table[[#This Row],[Monthly Income]]&lt;=5000, "Middle Income", "High Income"))</f>
        <v>High Income</v>
      </c>
      <c r="AG125" t="s">
        <v>45</v>
      </c>
      <c r="AH125" t="s">
        <v>3635</v>
      </c>
      <c r="AI125" t="str">
        <f t="shared" si="13"/>
        <v>Low-Risk</v>
      </c>
    </row>
    <row r="126" spans="1:35" x14ac:dyDescent="0.35">
      <c r="A126" t="s">
        <v>532</v>
      </c>
      <c r="B126" t="s">
        <v>533</v>
      </c>
      <c r="C126" t="s">
        <v>534</v>
      </c>
      <c r="D126" s="1">
        <v>44966</v>
      </c>
      <c r="E126" s="1" t="str">
        <f t="shared" si="7"/>
        <v>09</v>
      </c>
      <c r="F126" s="1" t="str">
        <f t="shared" si="8"/>
        <v>Feb</v>
      </c>
      <c r="G126" s="6" t="s">
        <v>34</v>
      </c>
      <c r="H126" s="5">
        <v>8784.89</v>
      </c>
      <c r="I126" s="5" t="str">
        <f>IF(fin_table[[#This Row],[Account Balance]]&lt;20000,"Active", "Not Active")</f>
        <v>Active</v>
      </c>
      <c r="J126" s="5">
        <v>12942.74</v>
      </c>
      <c r="K126" s="5" t="str">
        <f t="shared" si="9"/>
        <v>Medium</v>
      </c>
      <c r="L126" s="6" t="s">
        <v>125</v>
      </c>
      <c r="M126">
        <v>47</v>
      </c>
      <c r="N126" s="6" t="str">
        <f t="shared" si="10"/>
        <v>Older Adults</v>
      </c>
      <c r="O126" s="6" t="s">
        <v>42</v>
      </c>
      <c r="P126" s="6" t="s">
        <v>26</v>
      </c>
      <c r="Q126" t="s">
        <v>438</v>
      </c>
      <c r="R126" s="6" t="s">
        <v>28</v>
      </c>
      <c r="S126" s="6" t="s">
        <v>62</v>
      </c>
      <c r="T126" s="14">
        <v>1.26E-2</v>
      </c>
      <c r="U126">
        <v>1.26</v>
      </c>
      <c r="V126" t="str">
        <f>IF(fin_table[[#This Row],[Interest Rate(%)]]&gt;4,"high","low")</f>
        <v>low</v>
      </c>
      <c r="W126" s="5">
        <v>36509.660000000003</v>
      </c>
      <c r="X126" s="5">
        <f>fin_table[[#This Row],[Interest Rate]]*fin_table[[#This Row],[Loan Amount]]</f>
        <v>460.02171600000003</v>
      </c>
      <c r="Y126">
        <v>14</v>
      </c>
      <c r="Z126" s="3">
        <v>621</v>
      </c>
      <c r="AA126" s="3" t="str">
        <f t="shared" si="11"/>
        <v>Fair</v>
      </c>
      <c r="AB126" s="3" cm="1">
        <f t="array" ref="AB126">_xlfn.IFS(fin_table[[#This Row],[Transaction Status]]="Failed", 1, fin_table[[#This Row],[Transaction Status]]="Completed",0,fin_table[[#This Row],[Transaction Status]]="Pending",2)</f>
        <v>2</v>
      </c>
      <c r="AC126" s="3" t="str">
        <f>IF(fin_table[[#This Row],[Loan Defaulters]]=1,"Default", "Good")</f>
        <v>Good</v>
      </c>
      <c r="AD126" s="3">
        <f t="shared" si="12"/>
        <v>2</v>
      </c>
      <c r="AE126" s="4">
        <v>5042.99</v>
      </c>
      <c r="AF126" s="4" t="str">
        <f>IF(fin_table[[#This Row],[Monthly Income]]&lt;3000, "Low Income", IF(fin_table[[#This Row],[Monthly Income]]&lt;=5000, "Middle Income", "High Income"))</f>
        <v>High Income</v>
      </c>
      <c r="AG126" t="s">
        <v>30</v>
      </c>
      <c r="AH126" t="s">
        <v>3636</v>
      </c>
      <c r="AI126" t="str">
        <f t="shared" si="13"/>
        <v>Low-Risk</v>
      </c>
    </row>
    <row r="127" spans="1:35" x14ac:dyDescent="0.35">
      <c r="A127" t="s">
        <v>535</v>
      </c>
      <c r="B127" t="s">
        <v>536</v>
      </c>
      <c r="C127" t="s">
        <v>537</v>
      </c>
      <c r="D127" s="1">
        <v>45029</v>
      </c>
      <c r="E127" s="1" t="str">
        <f t="shared" si="7"/>
        <v>13</v>
      </c>
      <c r="F127" s="1" t="str">
        <f t="shared" si="8"/>
        <v>Apr</v>
      </c>
      <c r="G127" s="6" t="s">
        <v>34</v>
      </c>
      <c r="H127" s="5">
        <v>3371.04</v>
      </c>
      <c r="I127" s="5" t="str">
        <f>IF(fin_table[[#This Row],[Account Balance]]&lt;20000,"Active", "Not Active")</f>
        <v>Active</v>
      </c>
      <c r="J127" s="5">
        <v>14112.44</v>
      </c>
      <c r="K127" s="5" t="str">
        <f t="shared" si="9"/>
        <v>Medium</v>
      </c>
      <c r="L127" s="6" t="s">
        <v>49</v>
      </c>
      <c r="M127">
        <v>68</v>
      </c>
      <c r="N127" s="6" t="str">
        <f t="shared" si="10"/>
        <v>Seniors</v>
      </c>
      <c r="O127" s="6" t="s">
        <v>42</v>
      </c>
      <c r="P127" s="6" t="s">
        <v>36</v>
      </c>
      <c r="Q127" t="s">
        <v>538</v>
      </c>
      <c r="R127" s="6" t="s">
        <v>28</v>
      </c>
      <c r="S127" s="6" t="s">
        <v>29</v>
      </c>
      <c r="T127" s="14">
        <v>1.1299999999999999E-2</v>
      </c>
      <c r="U127">
        <v>1.1299999999999999</v>
      </c>
      <c r="V127" t="str">
        <f>IF(fin_table[[#This Row],[Interest Rate(%)]]&gt;4,"high","low")</f>
        <v>low</v>
      </c>
      <c r="W127" s="5">
        <v>27603.58</v>
      </c>
      <c r="X127" s="5">
        <f>fin_table[[#This Row],[Interest Rate]]*fin_table[[#This Row],[Loan Amount]]</f>
        <v>311.92045400000001</v>
      </c>
      <c r="Y127">
        <v>13</v>
      </c>
      <c r="Z127" s="3">
        <v>755</v>
      </c>
      <c r="AA127" s="3" t="str">
        <f t="shared" si="11"/>
        <v>Very Good</v>
      </c>
      <c r="AB127" s="3" cm="1">
        <f t="array" ref="AB127">_xlfn.IFS(fin_table[[#This Row],[Transaction Status]]="Failed", 1, fin_table[[#This Row],[Transaction Status]]="Completed",0,fin_table[[#This Row],[Transaction Status]]="Pending",2)</f>
        <v>1</v>
      </c>
      <c r="AC127" s="3" t="str">
        <f>IF(fin_table[[#This Row],[Loan Defaulters]]=1,"Default", "Good")</f>
        <v>Default</v>
      </c>
      <c r="AD127" s="3">
        <f t="shared" si="12"/>
        <v>4</v>
      </c>
      <c r="AE127" s="4">
        <v>7354.23</v>
      </c>
      <c r="AF127" s="4" t="str">
        <f>IF(fin_table[[#This Row],[Monthly Income]]&lt;3000, "Low Income", IF(fin_table[[#This Row],[Monthly Income]]&lt;=5000, "Middle Income", "High Income"))</f>
        <v>High Income</v>
      </c>
      <c r="AG127" t="s">
        <v>63</v>
      </c>
      <c r="AH127" t="s">
        <v>3636</v>
      </c>
      <c r="AI127" t="str">
        <f t="shared" si="13"/>
        <v>Low-Risk</v>
      </c>
    </row>
    <row r="128" spans="1:35" x14ac:dyDescent="0.35">
      <c r="A128" t="s">
        <v>539</v>
      </c>
      <c r="B128" t="s">
        <v>540</v>
      </c>
      <c r="C128" t="s">
        <v>541</v>
      </c>
      <c r="D128" s="1">
        <v>44750</v>
      </c>
      <c r="E128" s="1" t="str">
        <f t="shared" si="7"/>
        <v>08</v>
      </c>
      <c r="F128" s="1" t="str">
        <f t="shared" si="8"/>
        <v>Jul</v>
      </c>
      <c r="G128" s="6" t="s">
        <v>34</v>
      </c>
      <c r="H128" s="5">
        <v>3470.02</v>
      </c>
      <c r="I128" s="5" t="str">
        <f>IF(fin_table[[#This Row],[Account Balance]]&lt;20000,"Active", "Not Active")</f>
        <v>Active</v>
      </c>
      <c r="J128" s="5">
        <v>17448.02</v>
      </c>
      <c r="K128" s="5" t="str">
        <f t="shared" si="9"/>
        <v>Medium</v>
      </c>
      <c r="L128" s="6" t="s">
        <v>49</v>
      </c>
      <c r="M128">
        <v>57</v>
      </c>
      <c r="N128" s="6" t="str">
        <f t="shared" si="10"/>
        <v>Older Adults</v>
      </c>
      <c r="O128" s="6" t="s">
        <v>25</v>
      </c>
      <c r="P128" s="6" t="s">
        <v>26</v>
      </c>
      <c r="Q128" t="s">
        <v>542</v>
      </c>
      <c r="R128" s="6" t="s">
        <v>52</v>
      </c>
      <c r="S128" s="6" t="s">
        <v>44</v>
      </c>
      <c r="T128" s="14">
        <v>2.0299999999999999E-2</v>
      </c>
      <c r="U128">
        <v>2.0299999999999998</v>
      </c>
      <c r="V128" t="str">
        <f>IF(fin_table[[#This Row],[Interest Rate(%)]]&gt;4,"high","low")</f>
        <v>low</v>
      </c>
      <c r="W128" s="5">
        <v>26681.654999999999</v>
      </c>
      <c r="X128" s="5">
        <f>fin_table[[#This Row],[Interest Rate]]*fin_table[[#This Row],[Loan Amount]]</f>
        <v>541.63759649999997</v>
      </c>
      <c r="Y128">
        <v>13</v>
      </c>
      <c r="Z128" s="3">
        <v>577</v>
      </c>
      <c r="AA128" s="3" t="str">
        <f t="shared" si="11"/>
        <v>Poor</v>
      </c>
      <c r="AB128" s="3" cm="1">
        <f t="array" ref="AB128">_xlfn.IFS(fin_table[[#This Row],[Transaction Status]]="Failed", 1, fin_table[[#This Row],[Transaction Status]]="Completed",0,fin_table[[#This Row],[Transaction Status]]="Pending",2)</f>
        <v>0</v>
      </c>
      <c r="AC128" s="3" t="str">
        <f>IF(fin_table[[#This Row],[Loan Defaulters]]=1,"Default", "Good")</f>
        <v>Good</v>
      </c>
      <c r="AD128" s="3">
        <f t="shared" si="12"/>
        <v>1</v>
      </c>
      <c r="AE128" s="4">
        <v>11309.19</v>
      </c>
      <c r="AF128" s="4" t="str">
        <f>IF(fin_table[[#This Row],[Monthly Income]]&lt;3000, "Low Income", IF(fin_table[[#This Row],[Monthly Income]]&lt;=5000, "Middle Income", "High Income"))</f>
        <v>High Income</v>
      </c>
      <c r="AG128" t="s">
        <v>30</v>
      </c>
      <c r="AH128" t="s">
        <v>3635</v>
      </c>
      <c r="AI128" t="str">
        <f t="shared" si="13"/>
        <v>Low-Risk</v>
      </c>
    </row>
    <row r="129" spans="1:35" x14ac:dyDescent="0.35">
      <c r="A129" t="s">
        <v>543</v>
      </c>
      <c r="B129" t="s">
        <v>544</v>
      </c>
      <c r="C129" t="s">
        <v>545</v>
      </c>
      <c r="D129" s="1">
        <v>44638</v>
      </c>
      <c r="E129" s="1" t="str">
        <f t="shared" si="7"/>
        <v>18</v>
      </c>
      <c r="F129" s="1" t="str">
        <f t="shared" si="8"/>
        <v>Mar</v>
      </c>
      <c r="G129" s="6" t="s">
        <v>34</v>
      </c>
      <c r="H129" s="5">
        <v>9891.3799999999992</v>
      </c>
      <c r="I129" s="5" t="str">
        <f>IF(fin_table[[#This Row],[Account Balance]]&lt;20000,"Active", "Not Active")</f>
        <v>Not Active</v>
      </c>
      <c r="J129" s="5">
        <v>37720.129999999997</v>
      </c>
      <c r="K129" s="5" t="str">
        <f t="shared" si="9"/>
        <v>Medium</v>
      </c>
      <c r="L129" s="6" t="s">
        <v>125</v>
      </c>
      <c r="M129">
        <v>24</v>
      </c>
      <c r="N129" s="6" t="str">
        <f t="shared" si="10"/>
        <v>Young Adults</v>
      </c>
      <c r="O129" s="6" t="s">
        <v>42</v>
      </c>
      <c r="P129" s="6" t="s">
        <v>50</v>
      </c>
      <c r="Q129" t="s">
        <v>546</v>
      </c>
      <c r="R129" s="6" t="s">
        <v>38</v>
      </c>
      <c r="S129" s="6" t="s">
        <v>44</v>
      </c>
      <c r="T129" s="14">
        <v>4.5999999999999999E-2</v>
      </c>
      <c r="U129">
        <v>4.5999999999999999E-2</v>
      </c>
      <c r="V129" t="str">
        <f>IF(fin_table[[#This Row],[Interest Rate(%)]]&gt;4,"high","low")</f>
        <v>low</v>
      </c>
      <c r="W129" s="5">
        <v>26681.654999999999</v>
      </c>
      <c r="X129" s="5">
        <f>fin_table[[#This Row],[Interest Rate]]*fin_table[[#This Row],[Loan Amount]]</f>
        <v>1227.3561299999999</v>
      </c>
      <c r="Y129">
        <v>26</v>
      </c>
      <c r="Z129" s="3">
        <v>837</v>
      </c>
      <c r="AA129" s="3" t="str">
        <f t="shared" si="11"/>
        <v>Excellent</v>
      </c>
      <c r="AB129" s="3" cm="1">
        <f t="array" ref="AB129">_xlfn.IFS(fin_table[[#This Row],[Transaction Status]]="Failed", 1, fin_table[[#This Row],[Transaction Status]]="Completed",0,fin_table[[#This Row],[Transaction Status]]="Pending",2)</f>
        <v>0</v>
      </c>
      <c r="AC129" s="3" t="str">
        <f>IF(fin_table[[#This Row],[Loan Defaulters]]=1,"Default", "Good")</f>
        <v>Good</v>
      </c>
      <c r="AD129" s="3">
        <f t="shared" si="12"/>
        <v>5</v>
      </c>
      <c r="AE129" s="4">
        <v>3422.6</v>
      </c>
      <c r="AF129" s="4" t="str">
        <f>IF(fin_table[[#This Row],[Monthly Income]]&lt;3000, "Low Income", IF(fin_table[[#This Row],[Monthly Income]]&lt;=5000, "Middle Income", "High Income"))</f>
        <v>Middle Income</v>
      </c>
      <c r="AG129" t="s">
        <v>30</v>
      </c>
      <c r="AH129" t="s">
        <v>3635</v>
      </c>
      <c r="AI129" t="str">
        <f t="shared" si="13"/>
        <v>Low-Risk</v>
      </c>
    </row>
    <row r="130" spans="1:35" x14ac:dyDescent="0.35">
      <c r="A130" t="s">
        <v>547</v>
      </c>
      <c r="B130" t="s">
        <v>548</v>
      </c>
      <c r="C130" t="s">
        <v>549</v>
      </c>
      <c r="D130" s="1">
        <v>44830</v>
      </c>
      <c r="E130" s="1" t="str">
        <f t="shared" ref="E130:E193" si="14">TEXT(D130, "DD")</f>
        <v>26</v>
      </c>
      <c r="F130" s="1" t="str">
        <f t="shared" ref="F130:F193" si="15">TEXT(D130, "MMM")</f>
        <v>Sep</v>
      </c>
      <c r="G130" s="6" t="s">
        <v>56</v>
      </c>
      <c r="H130" s="5">
        <v>6299.14</v>
      </c>
      <c r="I130" s="5" t="str">
        <f>IF(fin_table[[#This Row],[Account Balance]]&lt;20000,"Active", "Not Active")</f>
        <v>Not Active</v>
      </c>
      <c r="J130" s="5">
        <v>29023.7</v>
      </c>
      <c r="K130" s="5" t="str">
        <f t="shared" ref="K130:K193" si="16">IF(J130&lt;10000, "Low", IF(J130&lt;50000, "Medium", "High"))</f>
        <v>Medium</v>
      </c>
      <c r="L130" s="6" t="s">
        <v>125</v>
      </c>
      <c r="M130">
        <v>49</v>
      </c>
      <c r="N130" s="6" t="str">
        <f t="shared" ref="N130:N193" si="17">IF(M130&lt;18, "Teenagers", IF(M130&lt;=25, "Young Adults", IF(M130&lt;=35, "Adults", IF(M130&lt;=45, "Middle-Aged", IF(M130&lt;=60, "Older Adults", "Seniors")))))</f>
        <v>Older Adults</v>
      </c>
      <c r="O130" s="6" t="s">
        <v>25</v>
      </c>
      <c r="P130" s="6" t="s">
        <v>36</v>
      </c>
      <c r="Q130" t="s">
        <v>550</v>
      </c>
      <c r="R130" s="6" t="s">
        <v>38</v>
      </c>
      <c r="S130" s="6" t="s">
        <v>62</v>
      </c>
      <c r="T130" s="14">
        <v>4.2900000000000001E-2</v>
      </c>
      <c r="U130">
        <v>4.29</v>
      </c>
      <c r="V130" t="str">
        <f>IF(fin_table[[#This Row],[Interest Rate(%)]]&gt;4,"high","low")</f>
        <v>high</v>
      </c>
      <c r="W130" s="5">
        <v>18121</v>
      </c>
      <c r="X130" s="5">
        <f>fin_table[[#This Row],[Interest Rate]]*fin_table[[#This Row],[Loan Amount]]</f>
        <v>777.39089999999999</v>
      </c>
      <c r="Y130">
        <v>6</v>
      </c>
      <c r="Z130" s="3">
        <v>692</v>
      </c>
      <c r="AA130" s="3" t="str">
        <f t="shared" ref="AA130:AA193" si="18">IF(Z130&lt;580, "Poor", IF(Z130&lt;670, "Fair", IF(Z130&lt;740, "Good", IF(Z130&lt;800, "Very Good", "Excellent"))))</f>
        <v>Good</v>
      </c>
      <c r="AB130" s="3" cm="1">
        <f t="array" ref="AB130">_xlfn.IFS(fin_table[[#This Row],[Transaction Status]]="Failed", 1, fin_table[[#This Row],[Transaction Status]]="Completed",0,fin_table[[#This Row],[Transaction Status]]="Pending",2)</f>
        <v>2</v>
      </c>
      <c r="AC130" s="3" t="str">
        <f>IF(fin_table[[#This Row],[Loan Defaulters]]=1,"Default", "Good")</f>
        <v>Good</v>
      </c>
      <c r="AD130" s="3">
        <f t="shared" ref="AD130:AD193" si="19">IF(AA130="Poor", 1, IF(AA130="Fair", 2, IF(AA130="Good", 3, IF(AA130="Very Good", 4, IF(AA130="Excellent", 5, "")))))</f>
        <v>3</v>
      </c>
      <c r="AE130" s="4">
        <v>5516.1</v>
      </c>
      <c r="AF130" s="4" t="str">
        <f>IF(fin_table[[#This Row],[Monthly Income]]&lt;3000, "Low Income", IF(fin_table[[#This Row],[Monthly Income]]&lt;=5000, "Middle Income", "High Income"))</f>
        <v>High Income</v>
      </c>
      <c r="AG130" t="s">
        <v>30</v>
      </c>
      <c r="AH130" t="s">
        <v>3636</v>
      </c>
      <c r="AI130" t="str">
        <f t="shared" ref="AI130:AI193" si="20">IF(AND(W130&gt;33000, Z130&lt;600), "High-Risk", "Low-Risk")</f>
        <v>Low-Risk</v>
      </c>
    </row>
    <row r="131" spans="1:35" x14ac:dyDescent="0.35">
      <c r="A131" t="s">
        <v>551</v>
      </c>
      <c r="B131" t="s">
        <v>552</v>
      </c>
      <c r="C131" t="s">
        <v>553</v>
      </c>
      <c r="D131" s="1">
        <v>45034</v>
      </c>
      <c r="E131" s="1" t="str">
        <f t="shared" si="14"/>
        <v>18</v>
      </c>
      <c r="F131" s="1" t="str">
        <f t="shared" si="15"/>
        <v>Apr</v>
      </c>
      <c r="G131" s="6" t="s">
        <v>23</v>
      </c>
      <c r="H131" s="5">
        <v>5360.03</v>
      </c>
      <c r="I131" s="5" t="str">
        <f>IF(fin_table[[#This Row],[Account Balance]]&lt;20000,"Active", "Not Active")</f>
        <v>Not Active</v>
      </c>
      <c r="J131" s="5">
        <v>49326.09</v>
      </c>
      <c r="K131" s="5" t="str">
        <f t="shared" si="16"/>
        <v>Medium</v>
      </c>
      <c r="L131" s="6" t="s">
        <v>49</v>
      </c>
      <c r="M131">
        <v>65</v>
      </c>
      <c r="N131" s="6" t="str">
        <f t="shared" si="17"/>
        <v>Seniors</v>
      </c>
      <c r="O131" s="6" t="s">
        <v>25</v>
      </c>
      <c r="P131" s="6" t="s">
        <v>36</v>
      </c>
      <c r="Q131" t="s">
        <v>554</v>
      </c>
      <c r="R131" s="6" t="s">
        <v>38</v>
      </c>
      <c r="S131" s="6" t="s">
        <v>44</v>
      </c>
      <c r="T131" s="14">
        <v>3.73E-2</v>
      </c>
      <c r="U131">
        <v>3.73</v>
      </c>
      <c r="V131" t="str">
        <f>IF(fin_table[[#This Row],[Interest Rate(%)]]&gt;4,"high","low")</f>
        <v>low</v>
      </c>
      <c r="W131" s="5">
        <v>26681.654999999999</v>
      </c>
      <c r="X131" s="5">
        <f>fin_table[[#This Row],[Interest Rate]]*fin_table[[#This Row],[Loan Amount]]</f>
        <v>995.22573149999994</v>
      </c>
      <c r="Y131">
        <v>19</v>
      </c>
      <c r="Z131" s="3">
        <v>394</v>
      </c>
      <c r="AA131" s="3" t="str">
        <f t="shared" si="18"/>
        <v>Poor</v>
      </c>
      <c r="AB131" s="3" cm="1">
        <f t="array" ref="AB131">_xlfn.IFS(fin_table[[#This Row],[Transaction Status]]="Failed", 1, fin_table[[#This Row],[Transaction Status]]="Completed",0,fin_table[[#This Row],[Transaction Status]]="Pending",2)</f>
        <v>0</v>
      </c>
      <c r="AC131" s="3" t="str">
        <f>IF(fin_table[[#This Row],[Loan Defaulters]]=1,"Default", "Good")</f>
        <v>Good</v>
      </c>
      <c r="AD131" s="3">
        <f t="shared" si="19"/>
        <v>1</v>
      </c>
      <c r="AE131" s="4">
        <v>2606.27</v>
      </c>
      <c r="AF131" s="4" t="str">
        <f>IF(fin_table[[#This Row],[Monthly Income]]&lt;3000, "Low Income", IF(fin_table[[#This Row],[Monthly Income]]&lt;=5000, "Middle Income", "High Income"))</f>
        <v>Low Income</v>
      </c>
      <c r="AG131" t="s">
        <v>45</v>
      </c>
      <c r="AH131" t="s">
        <v>3635</v>
      </c>
      <c r="AI131" t="str">
        <f t="shared" si="20"/>
        <v>Low-Risk</v>
      </c>
    </row>
    <row r="132" spans="1:35" x14ac:dyDescent="0.35">
      <c r="A132" t="s">
        <v>555</v>
      </c>
      <c r="B132" t="s">
        <v>556</v>
      </c>
      <c r="C132" t="s">
        <v>557</v>
      </c>
      <c r="D132" s="1">
        <v>45122</v>
      </c>
      <c r="E132" s="1" t="str">
        <f t="shared" si="14"/>
        <v>15</v>
      </c>
      <c r="F132" s="1" t="str">
        <f t="shared" si="15"/>
        <v>Jul</v>
      </c>
      <c r="G132" s="6" t="s">
        <v>56</v>
      </c>
      <c r="H132" s="5">
        <v>8397.7099999999991</v>
      </c>
      <c r="I132" s="5" t="str">
        <f>IF(fin_table[[#This Row],[Account Balance]]&lt;20000,"Active", "Not Active")</f>
        <v>Not Active</v>
      </c>
      <c r="J132" s="5">
        <v>21322.06</v>
      </c>
      <c r="K132" s="5" t="str">
        <f t="shared" si="16"/>
        <v>Medium</v>
      </c>
      <c r="L132" s="6" t="s">
        <v>125</v>
      </c>
      <c r="M132">
        <v>36</v>
      </c>
      <c r="N132" s="6" t="str">
        <f t="shared" si="17"/>
        <v>Middle-Aged</v>
      </c>
      <c r="O132" s="6" t="s">
        <v>42</v>
      </c>
      <c r="P132" s="6" t="s">
        <v>36</v>
      </c>
      <c r="Q132" t="s">
        <v>558</v>
      </c>
      <c r="R132" s="6" t="s">
        <v>52</v>
      </c>
      <c r="S132" s="6" t="s">
        <v>29</v>
      </c>
      <c r="T132" s="14">
        <v>3.7999999999999999E-2</v>
      </c>
      <c r="U132">
        <v>3.7999999999999999E-2</v>
      </c>
      <c r="V132" t="str">
        <f>IF(fin_table[[#This Row],[Interest Rate(%)]]&gt;4,"high","low")</f>
        <v>low</v>
      </c>
      <c r="W132" s="5">
        <v>15722.95</v>
      </c>
      <c r="X132" s="5">
        <f>fin_table[[#This Row],[Interest Rate]]*fin_table[[#This Row],[Loan Amount]]</f>
        <v>597.47210000000007</v>
      </c>
      <c r="Y132">
        <v>4</v>
      </c>
      <c r="Z132" s="3">
        <v>406</v>
      </c>
      <c r="AA132" s="3" t="str">
        <f t="shared" si="18"/>
        <v>Poor</v>
      </c>
      <c r="AB132" s="3" cm="1">
        <f t="array" ref="AB132">_xlfn.IFS(fin_table[[#This Row],[Transaction Status]]="Failed", 1, fin_table[[#This Row],[Transaction Status]]="Completed",0,fin_table[[#This Row],[Transaction Status]]="Pending",2)</f>
        <v>1</v>
      </c>
      <c r="AC132" s="3" t="str">
        <f>IF(fin_table[[#This Row],[Loan Defaulters]]=1,"Default", "Good")</f>
        <v>Default</v>
      </c>
      <c r="AD132" s="3">
        <f t="shared" si="19"/>
        <v>1</v>
      </c>
      <c r="AE132" s="4">
        <v>7620.52</v>
      </c>
      <c r="AF132" s="4" t="str">
        <f>IF(fin_table[[#This Row],[Monthly Income]]&lt;3000, "Low Income", IF(fin_table[[#This Row],[Monthly Income]]&lt;=5000, "Middle Income", "High Income"))</f>
        <v>High Income</v>
      </c>
      <c r="AG132" t="s">
        <v>45</v>
      </c>
      <c r="AH132" t="s">
        <v>3636</v>
      </c>
      <c r="AI132" t="str">
        <f t="shared" si="20"/>
        <v>Low-Risk</v>
      </c>
    </row>
    <row r="133" spans="1:35" x14ac:dyDescent="0.35">
      <c r="A133" t="s">
        <v>559</v>
      </c>
      <c r="B133" t="s">
        <v>560</v>
      </c>
      <c r="C133" t="s">
        <v>561</v>
      </c>
      <c r="D133" s="1">
        <v>44839</v>
      </c>
      <c r="E133" s="1" t="str">
        <f t="shared" si="14"/>
        <v>05</v>
      </c>
      <c r="F133" s="1" t="str">
        <f t="shared" si="15"/>
        <v>Oct</v>
      </c>
      <c r="G133" s="6" t="s">
        <v>23</v>
      </c>
      <c r="H133" s="5">
        <v>2924.37</v>
      </c>
      <c r="I133" s="5" t="str">
        <f>IF(fin_table[[#This Row],[Account Balance]]&lt;20000,"Active", "Not Active")</f>
        <v>Not Active</v>
      </c>
      <c r="J133" s="5">
        <v>37939.39</v>
      </c>
      <c r="K133" s="5" t="str">
        <f t="shared" si="16"/>
        <v>Medium</v>
      </c>
      <c r="L133" s="6" t="s">
        <v>125</v>
      </c>
      <c r="M133">
        <v>23</v>
      </c>
      <c r="N133" s="6" t="str">
        <f t="shared" si="17"/>
        <v>Young Adults</v>
      </c>
      <c r="O133" s="6" t="s">
        <v>25</v>
      </c>
      <c r="P133" s="6" t="s">
        <v>36</v>
      </c>
      <c r="Q133" t="s">
        <v>562</v>
      </c>
      <c r="R133" s="6" t="s">
        <v>28</v>
      </c>
      <c r="S133" s="6" t="s">
        <v>44</v>
      </c>
      <c r="T133" s="14">
        <v>3.9100000000000003E-2</v>
      </c>
      <c r="U133">
        <v>3.91</v>
      </c>
      <c r="V133" t="str">
        <f>IF(fin_table[[#This Row],[Interest Rate(%)]]&gt;4,"high","low")</f>
        <v>low</v>
      </c>
      <c r="W133" s="5">
        <v>26681.654999999999</v>
      </c>
      <c r="X133" s="5">
        <f>fin_table[[#This Row],[Interest Rate]]*fin_table[[#This Row],[Loan Amount]]</f>
        <v>1043.2527104999999</v>
      </c>
      <c r="Y133">
        <v>20</v>
      </c>
      <c r="Z133" s="3">
        <v>689</v>
      </c>
      <c r="AA133" s="3" t="str">
        <f t="shared" si="18"/>
        <v>Good</v>
      </c>
      <c r="AB133" s="3" cm="1">
        <f t="array" ref="AB133">_xlfn.IFS(fin_table[[#This Row],[Transaction Status]]="Failed", 1, fin_table[[#This Row],[Transaction Status]]="Completed",0,fin_table[[#This Row],[Transaction Status]]="Pending",2)</f>
        <v>0</v>
      </c>
      <c r="AC133" s="3" t="str">
        <f>IF(fin_table[[#This Row],[Loan Defaulters]]=1,"Default", "Good")</f>
        <v>Good</v>
      </c>
      <c r="AD133" s="3">
        <f t="shared" si="19"/>
        <v>3</v>
      </c>
      <c r="AE133" s="4">
        <v>12756.79</v>
      </c>
      <c r="AF133" s="4" t="str">
        <f>IF(fin_table[[#This Row],[Monthly Income]]&lt;3000, "Low Income", IF(fin_table[[#This Row],[Monthly Income]]&lt;=5000, "Middle Income", "High Income"))</f>
        <v>High Income</v>
      </c>
      <c r="AG133" t="s">
        <v>45</v>
      </c>
      <c r="AH133" t="s">
        <v>3635</v>
      </c>
      <c r="AI133" t="str">
        <f t="shared" si="20"/>
        <v>Low-Risk</v>
      </c>
    </row>
    <row r="134" spans="1:35" x14ac:dyDescent="0.35">
      <c r="A134" t="s">
        <v>563</v>
      </c>
      <c r="B134" t="s">
        <v>564</v>
      </c>
      <c r="C134" t="s">
        <v>565</v>
      </c>
      <c r="D134" s="1">
        <v>44869</v>
      </c>
      <c r="E134" s="1" t="str">
        <f t="shared" si="14"/>
        <v>04</v>
      </c>
      <c r="F134" s="1" t="str">
        <f t="shared" si="15"/>
        <v>Nov</v>
      </c>
      <c r="G134" s="6" t="s">
        <v>34</v>
      </c>
      <c r="H134" s="5">
        <v>4348.91</v>
      </c>
      <c r="I134" s="5" t="str">
        <f>IF(fin_table[[#This Row],[Account Balance]]&lt;20000,"Active", "Not Active")</f>
        <v>Not Active</v>
      </c>
      <c r="J134" s="5">
        <v>43701.95</v>
      </c>
      <c r="K134" s="5" t="str">
        <f t="shared" si="16"/>
        <v>Medium</v>
      </c>
      <c r="L134" s="6" t="s">
        <v>24</v>
      </c>
      <c r="M134">
        <v>37</v>
      </c>
      <c r="N134" s="6" t="str">
        <f t="shared" si="17"/>
        <v>Middle-Aged</v>
      </c>
      <c r="O134" s="6" t="s">
        <v>42</v>
      </c>
      <c r="P134" s="6" t="s">
        <v>36</v>
      </c>
      <c r="Q134" t="s">
        <v>566</v>
      </c>
      <c r="R134" s="6" t="s">
        <v>52</v>
      </c>
      <c r="S134" s="6" t="s">
        <v>62</v>
      </c>
      <c r="T134" s="14">
        <v>4.7699999999999999E-2</v>
      </c>
      <c r="U134">
        <v>4.7699999999999996</v>
      </c>
      <c r="V134" t="str">
        <f>IF(fin_table[[#This Row],[Interest Rate(%)]]&gt;4,"high","low")</f>
        <v>high</v>
      </c>
      <c r="W134" s="5">
        <v>44058.400000000001</v>
      </c>
      <c r="X134" s="5">
        <f>fin_table[[#This Row],[Interest Rate]]*fin_table[[#This Row],[Loan Amount]]</f>
        <v>2101.5856800000001</v>
      </c>
      <c r="Y134">
        <v>13</v>
      </c>
      <c r="Z134" s="3">
        <v>825</v>
      </c>
      <c r="AA134" s="3" t="str">
        <f t="shared" si="18"/>
        <v>Excellent</v>
      </c>
      <c r="AB134" s="3" cm="1">
        <f t="array" ref="AB134">_xlfn.IFS(fin_table[[#This Row],[Transaction Status]]="Failed", 1, fin_table[[#This Row],[Transaction Status]]="Completed",0,fin_table[[#This Row],[Transaction Status]]="Pending",2)</f>
        <v>2</v>
      </c>
      <c r="AC134" s="3" t="str">
        <f>IF(fin_table[[#This Row],[Loan Defaulters]]=1,"Default", "Good")</f>
        <v>Good</v>
      </c>
      <c r="AD134" s="3">
        <f t="shared" si="19"/>
        <v>5</v>
      </c>
      <c r="AE134" s="4">
        <v>2320.63</v>
      </c>
      <c r="AF134" s="4" t="str">
        <f>IF(fin_table[[#This Row],[Monthly Income]]&lt;3000, "Low Income", IF(fin_table[[#This Row],[Monthly Income]]&lt;=5000, "Middle Income", "High Income"))</f>
        <v>Low Income</v>
      </c>
      <c r="AG134" t="s">
        <v>45</v>
      </c>
      <c r="AH134" t="s">
        <v>3636</v>
      </c>
      <c r="AI134" t="str">
        <f t="shared" si="20"/>
        <v>Low-Risk</v>
      </c>
    </row>
    <row r="135" spans="1:35" x14ac:dyDescent="0.35">
      <c r="A135" t="s">
        <v>567</v>
      </c>
      <c r="B135" t="s">
        <v>568</v>
      </c>
      <c r="C135" t="s">
        <v>569</v>
      </c>
      <c r="D135" s="1">
        <v>45019</v>
      </c>
      <c r="E135" s="1" t="str">
        <f t="shared" si="14"/>
        <v>03</v>
      </c>
      <c r="F135" s="1" t="str">
        <f t="shared" si="15"/>
        <v>Apr</v>
      </c>
      <c r="G135" s="6" t="s">
        <v>71</v>
      </c>
      <c r="H135" s="5">
        <v>2750.99</v>
      </c>
      <c r="I135" s="5" t="str">
        <f>IF(fin_table[[#This Row],[Account Balance]]&lt;20000,"Active", "Not Active")</f>
        <v>Not Active</v>
      </c>
      <c r="J135" s="5">
        <v>34269.949999999997</v>
      </c>
      <c r="K135" s="5" t="str">
        <f t="shared" si="16"/>
        <v>Medium</v>
      </c>
      <c r="L135" s="6" t="s">
        <v>100</v>
      </c>
      <c r="M135">
        <v>44</v>
      </c>
      <c r="N135" s="6" t="str">
        <f t="shared" si="17"/>
        <v>Middle-Aged</v>
      </c>
      <c r="O135" s="6" t="s">
        <v>25</v>
      </c>
      <c r="P135" s="6" t="s">
        <v>50</v>
      </c>
      <c r="Q135" t="s">
        <v>570</v>
      </c>
      <c r="R135" s="6" t="s">
        <v>38</v>
      </c>
      <c r="S135" s="6" t="s">
        <v>29</v>
      </c>
      <c r="T135" s="14">
        <v>4.3299999999999998E-2</v>
      </c>
      <c r="U135">
        <v>4.33</v>
      </c>
      <c r="V135" t="str">
        <f>IF(fin_table[[#This Row],[Interest Rate(%)]]&gt;4,"high","low")</f>
        <v>high</v>
      </c>
      <c r="W135" s="5">
        <v>26681.654999999999</v>
      </c>
      <c r="X135" s="5">
        <f>fin_table[[#This Row],[Interest Rate]]*fin_table[[#This Row],[Loan Amount]]</f>
        <v>1155.3156614999998</v>
      </c>
      <c r="Y135">
        <v>19</v>
      </c>
      <c r="Z135" s="3">
        <v>370</v>
      </c>
      <c r="AA135" s="3" t="str">
        <f t="shared" si="18"/>
        <v>Poor</v>
      </c>
      <c r="AB135" s="3" cm="1">
        <f t="array" ref="AB135">_xlfn.IFS(fin_table[[#This Row],[Transaction Status]]="Failed", 1, fin_table[[#This Row],[Transaction Status]]="Completed",0,fin_table[[#This Row],[Transaction Status]]="Pending",2)</f>
        <v>1</v>
      </c>
      <c r="AC135" s="3" t="str">
        <f>IF(fin_table[[#This Row],[Loan Defaulters]]=1,"Default", "Good")</f>
        <v>Default</v>
      </c>
      <c r="AD135" s="3">
        <f t="shared" si="19"/>
        <v>1</v>
      </c>
      <c r="AE135" s="4">
        <v>10779.21</v>
      </c>
      <c r="AF135" s="4" t="str">
        <f>IF(fin_table[[#This Row],[Monthly Income]]&lt;3000, "Low Income", IF(fin_table[[#This Row],[Monthly Income]]&lt;=5000, "Middle Income", "High Income"))</f>
        <v>High Income</v>
      </c>
      <c r="AG135" t="s">
        <v>63</v>
      </c>
      <c r="AH135" t="s">
        <v>3635</v>
      </c>
      <c r="AI135" t="str">
        <f t="shared" si="20"/>
        <v>Low-Risk</v>
      </c>
    </row>
    <row r="136" spans="1:35" x14ac:dyDescent="0.35">
      <c r="A136" t="s">
        <v>571</v>
      </c>
      <c r="B136" t="s">
        <v>572</v>
      </c>
      <c r="C136" t="s">
        <v>573</v>
      </c>
      <c r="D136" s="1">
        <v>44952</v>
      </c>
      <c r="E136" s="1" t="str">
        <f t="shared" si="14"/>
        <v>26</v>
      </c>
      <c r="F136" s="1" t="str">
        <f t="shared" si="15"/>
        <v>Jan</v>
      </c>
      <c r="G136" s="6" t="s">
        <v>56</v>
      </c>
      <c r="H136" s="5">
        <v>7912.69</v>
      </c>
      <c r="I136" s="5" t="str">
        <f>IF(fin_table[[#This Row],[Account Balance]]&lt;20000,"Active", "Not Active")</f>
        <v>Not Active</v>
      </c>
      <c r="J136" s="5">
        <v>21181.37</v>
      </c>
      <c r="K136" s="5" t="str">
        <f t="shared" si="16"/>
        <v>Medium</v>
      </c>
      <c r="L136" s="6" t="s">
        <v>49</v>
      </c>
      <c r="M136">
        <v>60</v>
      </c>
      <c r="N136" s="6" t="str">
        <f t="shared" si="17"/>
        <v>Older Adults</v>
      </c>
      <c r="O136" s="6" t="s">
        <v>25</v>
      </c>
      <c r="P136" s="6" t="s">
        <v>36</v>
      </c>
      <c r="Q136" t="s">
        <v>574</v>
      </c>
      <c r="R136" s="6" t="s">
        <v>52</v>
      </c>
      <c r="S136" s="6" t="s">
        <v>29</v>
      </c>
      <c r="T136" s="14">
        <v>3.49E-2</v>
      </c>
      <c r="U136">
        <v>3.49</v>
      </c>
      <c r="V136" t="str">
        <f>IF(fin_table[[#This Row],[Interest Rate(%)]]&gt;4,"high","low")</f>
        <v>low</v>
      </c>
      <c r="W136" s="5">
        <v>26284.14</v>
      </c>
      <c r="X136" s="5">
        <f>fin_table[[#This Row],[Interest Rate]]*fin_table[[#This Row],[Loan Amount]]</f>
        <v>917.31648599999994</v>
      </c>
      <c r="Y136">
        <v>13</v>
      </c>
      <c r="Z136" s="3">
        <v>675</v>
      </c>
      <c r="AA136" s="3" t="str">
        <f t="shared" si="18"/>
        <v>Good</v>
      </c>
      <c r="AB136" s="3" cm="1">
        <f t="array" ref="AB136">_xlfn.IFS(fin_table[[#This Row],[Transaction Status]]="Failed", 1, fin_table[[#This Row],[Transaction Status]]="Completed",0,fin_table[[#This Row],[Transaction Status]]="Pending",2)</f>
        <v>1</v>
      </c>
      <c r="AC136" s="3" t="str">
        <f>IF(fin_table[[#This Row],[Loan Defaulters]]=1,"Default", "Good")</f>
        <v>Default</v>
      </c>
      <c r="AD136" s="3">
        <f t="shared" si="19"/>
        <v>3</v>
      </c>
      <c r="AE136" s="4">
        <v>14122.45</v>
      </c>
      <c r="AF136" s="4" t="str">
        <f>IF(fin_table[[#This Row],[Monthly Income]]&lt;3000, "Low Income", IF(fin_table[[#This Row],[Monthly Income]]&lt;=5000, "Middle Income", "High Income"))</f>
        <v>High Income</v>
      </c>
      <c r="AG136" t="s">
        <v>63</v>
      </c>
      <c r="AH136" t="s">
        <v>3636</v>
      </c>
      <c r="AI136" t="str">
        <f t="shared" si="20"/>
        <v>Low-Risk</v>
      </c>
    </row>
    <row r="137" spans="1:35" x14ac:dyDescent="0.35">
      <c r="A137" t="s">
        <v>575</v>
      </c>
      <c r="B137" t="s">
        <v>576</v>
      </c>
      <c r="C137" t="s">
        <v>577</v>
      </c>
      <c r="D137" s="1">
        <v>45101</v>
      </c>
      <c r="E137" s="1" t="str">
        <f t="shared" si="14"/>
        <v>24</v>
      </c>
      <c r="F137" s="1" t="str">
        <f t="shared" si="15"/>
        <v>Jun</v>
      </c>
      <c r="G137" s="6" t="s">
        <v>71</v>
      </c>
      <c r="H137" s="5">
        <v>5776.16</v>
      </c>
      <c r="I137" s="5" t="str">
        <f>IF(fin_table[[#This Row],[Account Balance]]&lt;20000,"Active", "Not Active")</f>
        <v>Not Active</v>
      </c>
      <c r="J137" s="5">
        <v>37926.14</v>
      </c>
      <c r="K137" s="5" t="str">
        <f t="shared" si="16"/>
        <v>Medium</v>
      </c>
      <c r="L137" s="6" t="s">
        <v>24</v>
      </c>
      <c r="M137">
        <v>54</v>
      </c>
      <c r="N137" s="6" t="str">
        <f t="shared" si="17"/>
        <v>Older Adults</v>
      </c>
      <c r="O137" s="6" t="s">
        <v>42</v>
      </c>
      <c r="P137" s="6" t="s">
        <v>26</v>
      </c>
      <c r="Q137" t="s">
        <v>578</v>
      </c>
      <c r="R137" s="6" t="s">
        <v>28</v>
      </c>
      <c r="S137" s="6" t="s">
        <v>62</v>
      </c>
      <c r="T137" s="14">
        <v>3.6600000000000001E-2</v>
      </c>
      <c r="U137">
        <v>3.66</v>
      </c>
      <c r="V137" t="str">
        <f>IF(fin_table[[#This Row],[Interest Rate(%)]]&gt;4,"high","low")</f>
        <v>low</v>
      </c>
      <c r="W137" s="5">
        <v>26681.654999999999</v>
      </c>
      <c r="X137" s="5">
        <f>fin_table[[#This Row],[Interest Rate]]*fin_table[[#This Row],[Loan Amount]]</f>
        <v>976.54857299999992</v>
      </c>
      <c r="Y137">
        <v>29</v>
      </c>
      <c r="Z137" s="3">
        <v>667</v>
      </c>
      <c r="AA137" s="3" t="str">
        <f t="shared" si="18"/>
        <v>Fair</v>
      </c>
      <c r="AB137" s="3" cm="1">
        <f t="array" ref="AB137">_xlfn.IFS(fin_table[[#This Row],[Transaction Status]]="Failed", 1, fin_table[[#This Row],[Transaction Status]]="Completed",0,fin_table[[#This Row],[Transaction Status]]="Pending",2)</f>
        <v>2</v>
      </c>
      <c r="AC137" s="3" t="str">
        <f>IF(fin_table[[#This Row],[Loan Defaulters]]=1,"Default", "Good")</f>
        <v>Good</v>
      </c>
      <c r="AD137" s="3">
        <f t="shared" si="19"/>
        <v>2</v>
      </c>
      <c r="AE137" s="4">
        <v>5080.0600000000004</v>
      </c>
      <c r="AF137" s="4" t="str">
        <f>IF(fin_table[[#This Row],[Monthly Income]]&lt;3000, "Low Income", IF(fin_table[[#This Row],[Monthly Income]]&lt;=5000, "Middle Income", "High Income"))</f>
        <v>High Income</v>
      </c>
      <c r="AG137" t="s">
        <v>45</v>
      </c>
      <c r="AH137" t="s">
        <v>3635</v>
      </c>
      <c r="AI137" t="str">
        <f t="shared" si="20"/>
        <v>Low-Risk</v>
      </c>
    </row>
    <row r="138" spans="1:35" x14ac:dyDescent="0.35">
      <c r="A138" t="s">
        <v>579</v>
      </c>
      <c r="B138" t="s">
        <v>580</v>
      </c>
      <c r="C138" t="s">
        <v>581</v>
      </c>
      <c r="D138" s="1">
        <v>44840</v>
      </c>
      <c r="E138" s="1" t="str">
        <f t="shared" si="14"/>
        <v>06</v>
      </c>
      <c r="F138" s="1" t="str">
        <f t="shared" si="15"/>
        <v>Oct</v>
      </c>
      <c r="G138" s="6" t="s">
        <v>56</v>
      </c>
      <c r="H138" s="5">
        <v>6622.37</v>
      </c>
      <c r="I138" s="5" t="str">
        <f>IF(fin_table[[#This Row],[Account Balance]]&lt;20000,"Active", "Not Active")</f>
        <v>Active</v>
      </c>
      <c r="J138" s="5">
        <v>10979.69</v>
      </c>
      <c r="K138" s="5" t="str">
        <f t="shared" si="16"/>
        <v>Medium</v>
      </c>
      <c r="L138" s="6" t="s">
        <v>100</v>
      </c>
      <c r="M138">
        <v>65</v>
      </c>
      <c r="N138" s="6" t="str">
        <f t="shared" si="17"/>
        <v>Seniors</v>
      </c>
      <c r="O138" s="6" t="s">
        <v>25</v>
      </c>
      <c r="P138" s="6" t="s">
        <v>36</v>
      </c>
      <c r="Q138" t="s">
        <v>582</v>
      </c>
      <c r="R138" s="6" t="s">
        <v>52</v>
      </c>
      <c r="S138" s="6" t="s">
        <v>44</v>
      </c>
      <c r="T138" s="14">
        <v>1.8499999999999999E-2</v>
      </c>
      <c r="U138">
        <v>1.85</v>
      </c>
      <c r="V138" t="str">
        <f>IF(fin_table[[#This Row],[Interest Rate(%)]]&gt;4,"high","low")</f>
        <v>low</v>
      </c>
      <c r="W138" s="5">
        <v>26681.654999999999</v>
      </c>
      <c r="X138" s="5">
        <f>fin_table[[#This Row],[Interest Rate]]*fin_table[[#This Row],[Loan Amount]]</f>
        <v>493.61061749999993</v>
      </c>
      <c r="Y138">
        <v>13</v>
      </c>
      <c r="Z138" s="3">
        <v>350</v>
      </c>
      <c r="AA138" s="3" t="str">
        <f t="shared" si="18"/>
        <v>Poor</v>
      </c>
      <c r="AB138" s="3" cm="1">
        <f t="array" ref="AB138">_xlfn.IFS(fin_table[[#This Row],[Transaction Status]]="Failed", 1, fin_table[[#This Row],[Transaction Status]]="Completed",0,fin_table[[#This Row],[Transaction Status]]="Pending",2)</f>
        <v>0</v>
      </c>
      <c r="AC138" s="3" t="str">
        <f>IF(fin_table[[#This Row],[Loan Defaulters]]=1,"Default", "Good")</f>
        <v>Good</v>
      </c>
      <c r="AD138" s="3">
        <f t="shared" si="19"/>
        <v>1</v>
      </c>
      <c r="AE138" s="4">
        <v>11017.25</v>
      </c>
      <c r="AF138" s="4" t="str">
        <f>IF(fin_table[[#This Row],[Monthly Income]]&lt;3000, "Low Income", IF(fin_table[[#This Row],[Monthly Income]]&lt;=5000, "Middle Income", "High Income"))</f>
        <v>High Income</v>
      </c>
      <c r="AG138" t="s">
        <v>45</v>
      </c>
      <c r="AH138" t="s">
        <v>3635</v>
      </c>
      <c r="AI138" t="str">
        <f t="shared" si="20"/>
        <v>Low-Risk</v>
      </c>
    </row>
    <row r="139" spans="1:35" x14ac:dyDescent="0.35">
      <c r="A139" t="s">
        <v>583</v>
      </c>
      <c r="B139" t="s">
        <v>584</v>
      </c>
      <c r="C139" t="s">
        <v>585</v>
      </c>
      <c r="D139" s="1">
        <v>44914</v>
      </c>
      <c r="E139" s="1" t="str">
        <f t="shared" si="14"/>
        <v>19</v>
      </c>
      <c r="F139" s="1" t="str">
        <f t="shared" si="15"/>
        <v>Dec</v>
      </c>
      <c r="G139" s="6" t="s">
        <v>34</v>
      </c>
      <c r="H139" s="5">
        <v>2597.84</v>
      </c>
      <c r="I139" s="5" t="str">
        <f>IF(fin_table[[#This Row],[Account Balance]]&lt;20000,"Active", "Not Active")</f>
        <v>Active</v>
      </c>
      <c r="J139" s="5">
        <v>17050.060000000001</v>
      </c>
      <c r="K139" s="5" t="str">
        <f t="shared" si="16"/>
        <v>Medium</v>
      </c>
      <c r="L139" s="6" t="s">
        <v>125</v>
      </c>
      <c r="M139">
        <v>24</v>
      </c>
      <c r="N139" s="6" t="str">
        <f t="shared" si="17"/>
        <v>Young Adults</v>
      </c>
      <c r="O139" s="6" t="s">
        <v>25</v>
      </c>
      <c r="P139" s="6" t="s">
        <v>36</v>
      </c>
      <c r="Q139" t="s">
        <v>586</v>
      </c>
      <c r="R139" s="6" t="s">
        <v>38</v>
      </c>
      <c r="S139" s="6" t="s">
        <v>62</v>
      </c>
      <c r="T139" s="14">
        <v>3.6299999999999999E-2</v>
      </c>
      <c r="U139">
        <v>3.63</v>
      </c>
      <c r="V139" t="str">
        <f>IF(fin_table[[#This Row],[Interest Rate(%)]]&gt;4,"high","low")</f>
        <v>low</v>
      </c>
      <c r="W139" s="5">
        <v>23708.04</v>
      </c>
      <c r="X139" s="5">
        <f>fin_table[[#This Row],[Interest Rate]]*fin_table[[#This Row],[Loan Amount]]</f>
        <v>860.60185200000001</v>
      </c>
      <c r="Y139">
        <v>13</v>
      </c>
      <c r="Z139" s="3">
        <v>442</v>
      </c>
      <c r="AA139" s="3" t="str">
        <f t="shared" si="18"/>
        <v>Poor</v>
      </c>
      <c r="AB139" s="3" cm="1">
        <f t="array" ref="AB139">_xlfn.IFS(fin_table[[#This Row],[Transaction Status]]="Failed", 1, fin_table[[#This Row],[Transaction Status]]="Completed",0,fin_table[[#This Row],[Transaction Status]]="Pending",2)</f>
        <v>2</v>
      </c>
      <c r="AC139" s="3" t="str">
        <f>IF(fin_table[[#This Row],[Loan Defaulters]]=1,"Default", "Good")</f>
        <v>Good</v>
      </c>
      <c r="AD139" s="3">
        <f t="shared" si="19"/>
        <v>1</v>
      </c>
      <c r="AE139" s="4">
        <v>14676.32</v>
      </c>
      <c r="AF139" s="4" t="str">
        <f>IF(fin_table[[#This Row],[Monthly Income]]&lt;3000, "Low Income", IF(fin_table[[#This Row],[Monthly Income]]&lt;=5000, "Middle Income", "High Income"))</f>
        <v>High Income</v>
      </c>
      <c r="AG139" t="s">
        <v>63</v>
      </c>
      <c r="AH139" t="s">
        <v>3636</v>
      </c>
      <c r="AI139" t="str">
        <f t="shared" si="20"/>
        <v>Low-Risk</v>
      </c>
    </row>
    <row r="140" spans="1:35" x14ac:dyDescent="0.35">
      <c r="A140" t="s">
        <v>587</v>
      </c>
      <c r="B140" t="s">
        <v>588</v>
      </c>
      <c r="C140" t="s">
        <v>589</v>
      </c>
      <c r="D140" s="1">
        <v>44572</v>
      </c>
      <c r="E140" s="1" t="str">
        <f t="shared" si="14"/>
        <v>11</v>
      </c>
      <c r="F140" s="1" t="str">
        <f t="shared" si="15"/>
        <v>Jan</v>
      </c>
      <c r="G140" s="6" t="s">
        <v>56</v>
      </c>
      <c r="H140" s="5">
        <v>2280.23</v>
      </c>
      <c r="I140" s="5" t="str">
        <f>IF(fin_table[[#This Row],[Account Balance]]&lt;20000,"Active", "Not Active")</f>
        <v>Not Active</v>
      </c>
      <c r="J140" s="5">
        <v>27787.58</v>
      </c>
      <c r="K140" s="5" t="str">
        <f t="shared" si="16"/>
        <v>Medium</v>
      </c>
      <c r="L140" s="6" t="s">
        <v>125</v>
      </c>
      <c r="M140">
        <v>22</v>
      </c>
      <c r="N140" s="6" t="str">
        <f t="shared" si="17"/>
        <v>Young Adults</v>
      </c>
      <c r="O140" s="6" t="s">
        <v>25</v>
      </c>
      <c r="P140" s="6" t="s">
        <v>36</v>
      </c>
      <c r="Q140" t="s">
        <v>590</v>
      </c>
      <c r="R140" s="6" t="s">
        <v>28</v>
      </c>
      <c r="S140" s="6" t="s">
        <v>44</v>
      </c>
      <c r="T140" s="14">
        <v>2.7E-2</v>
      </c>
      <c r="U140">
        <v>2.7E-2</v>
      </c>
      <c r="V140" t="str">
        <f>IF(fin_table[[#This Row],[Interest Rate(%)]]&gt;4,"high","low")</f>
        <v>low</v>
      </c>
      <c r="W140" s="5">
        <v>22083.39</v>
      </c>
      <c r="X140" s="5">
        <f>fin_table[[#This Row],[Interest Rate]]*fin_table[[#This Row],[Loan Amount]]</f>
        <v>596.25153</v>
      </c>
      <c r="Y140">
        <v>13</v>
      </c>
      <c r="Z140" s="3">
        <v>718</v>
      </c>
      <c r="AA140" s="3" t="str">
        <f t="shared" si="18"/>
        <v>Good</v>
      </c>
      <c r="AB140" s="3" cm="1">
        <f t="array" ref="AB140">_xlfn.IFS(fin_table[[#This Row],[Transaction Status]]="Failed", 1, fin_table[[#This Row],[Transaction Status]]="Completed",0,fin_table[[#This Row],[Transaction Status]]="Pending",2)</f>
        <v>0</v>
      </c>
      <c r="AC140" s="3" t="str">
        <f>IF(fin_table[[#This Row],[Loan Defaulters]]=1,"Default", "Good")</f>
        <v>Good</v>
      </c>
      <c r="AD140" s="3">
        <f t="shared" si="19"/>
        <v>3</v>
      </c>
      <c r="AE140" s="4">
        <v>14509.61</v>
      </c>
      <c r="AF140" s="4" t="str">
        <f>IF(fin_table[[#This Row],[Monthly Income]]&lt;3000, "Low Income", IF(fin_table[[#This Row],[Monthly Income]]&lt;=5000, "Middle Income", "High Income"))</f>
        <v>High Income</v>
      </c>
      <c r="AG140" t="s">
        <v>30</v>
      </c>
      <c r="AH140" t="s">
        <v>3636</v>
      </c>
      <c r="AI140" t="str">
        <f t="shared" si="20"/>
        <v>Low-Risk</v>
      </c>
    </row>
    <row r="141" spans="1:35" x14ac:dyDescent="0.35">
      <c r="A141" t="s">
        <v>591</v>
      </c>
      <c r="B141" t="s">
        <v>592</v>
      </c>
      <c r="C141" t="s">
        <v>593</v>
      </c>
      <c r="D141" s="1">
        <v>44894</v>
      </c>
      <c r="E141" s="1" t="str">
        <f t="shared" si="14"/>
        <v>29</v>
      </c>
      <c r="F141" s="1" t="str">
        <f t="shared" si="15"/>
        <v>Nov</v>
      </c>
      <c r="G141" s="6" t="s">
        <v>34</v>
      </c>
      <c r="H141" s="5">
        <v>4934.91</v>
      </c>
      <c r="I141" s="5" t="str">
        <f>IF(fin_table[[#This Row],[Account Balance]]&lt;20000,"Active", "Not Active")</f>
        <v>Not Active</v>
      </c>
      <c r="J141" s="5">
        <v>29195.06</v>
      </c>
      <c r="K141" s="5" t="str">
        <f t="shared" si="16"/>
        <v>Medium</v>
      </c>
      <c r="L141" s="6" t="s">
        <v>24</v>
      </c>
      <c r="M141">
        <v>28</v>
      </c>
      <c r="N141" s="6" t="str">
        <f t="shared" si="17"/>
        <v>Adults</v>
      </c>
      <c r="O141" s="6" t="s">
        <v>42</v>
      </c>
      <c r="P141" s="6" t="s">
        <v>36</v>
      </c>
      <c r="Q141" t="s">
        <v>355</v>
      </c>
      <c r="R141" s="6" t="s">
        <v>52</v>
      </c>
      <c r="S141" s="6" t="s">
        <v>44</v>
      </c>
      <c r="T141" s="14">
        <v>1.61E-2</v>
      </c>
      <c r="U141">
        <v>1.61</v>
      </c>
      <c r="V141" t="str">
        <f>IF(fin_table[[#This Row],[Interest Rate(%)]]&gt;4,"high","low")</f>
        <v>low</v>
      </c>
      <c r="W141" s="5">
        <v>26681.654999999999</v>
      </c>
      <c r="X141" s="5">
        <f>fin_table[[#This Row],[Interest Rate]]*fin_table[[#This Row],[Loan Amount]]</f>
        <v>429.57464549999997</v>
      </c>
      <c r="Y141">
        <v>9</v>
      </c>
      <c r="Z141" s="3">
        <v>847</v>
      </c>
      <c r="AA141" s="3" t="str">
        <f t="shared" si="18"/>
        <v>Excellent</v>
      </c>
      <c r="AB141" s="3" cm="1">
        <f t="array" ref="AB141">_xlfn.IFS(fin_table[[#This Row],[Transaction Status]]="Failed", 1, fin_table[[#This Row],[Transaction Status]]="Completed",0,fin_table[[#This Row],[Transaction Status]]="Pending",2)</f>
        <v>0</v>
      </c>
      <c r="AC141" s="3" t="str">
        <f>IF(fin_table[[#This Row],[Loan Defaulters]]=1,"Default", "Good")</f>
        <v>Good</v>
      </c>
      <c r="AD141" s="3">
        <f t="shared" si="19"/>
        <v>5</v>
      </c>
      <c r="AE141" s="4">
        <v>5054.08</v>
      </c>
      <c r="AF141" s="4" t="str">
        <f>IF(fin_table[[#This Row],[Monthly Income]]&lt;3000, "Low Income", IF(fin_table[[#This Row],[Monthly Income]]&lt;=5000, "Middle Income", "High Income"))</f>
        <v>High Income</v>
      </c>
      <c r="AG141" t="s">
        <v>30</v>
      </c>
      <c r="AH141" t="s">
        <v>3635</v>
      </c>
      <c r="AI141" t="str">
        <f t="shared" si="20"/>
        <v>Low-Risk</v>
      </c>
    </row>
    <row r="142" spans="1:35" x14ac:dyDescent="0.35">
      <c r="A142" t="s">
        <v>594</v>
      </c>
      <c r="B142" t="s">
        <v>595</v>
      </c>
      <c r="C142" t="s">
        <v>596</v>
      </c>
      <c r="D142" s="1">
        <v>44989</v>
      </c>
      <c r="E142" s="1" t="str">
        <f t="shared" si="14"/>
        <v>04</v>
      </c>
      <c r="F142" s="1" t="str">
        <f t="shared" si="15"/>
        <v>Mar</v>
      </c>
      <c r="G142" s="6" t="s">
        <v>56</v>
      </c>
      <c r="H142" s="5">
        <v>7401.9</v>
      </c>
      <c r="I142" s="5" t="str">
        <f>IF(fin_table[[#This Row],[Account Balance]]&lt;20000,"Active", "Not Active")</f>
        <v>Active</v>
      </c>
      <c r="J142" s="5">
        <v>2084.9299999999998</v>
      </c>
      <c r="K142" s="5" t="str">
        <f t="shared" si="16"/>
        <v>Low</v>
      </c>
      <c r="L142" s="6" t="s">
        <v>125</v>
      </c>
      <c r="M142">
        <v>32</v>
      </c>
      <c r="N142" s="6" t="str">
        <f t="shared" si="17"/>
        <v>Adults</v>
      </c>
      <c r="O142" s="6" t="s">
        <v>42</v>
      </c>
      <c r="P142" s="6" t="s">
        <v>36</v>
      </c>
      <c r="Q142" t="s">
        <v>597</v>
      </c>
      <c r="R142" s="6" t="s">
        <v>52</v>
      </c>
      <c r="S142" s="6" t="s">
        <v>29</v>
      </c>
      <c r="T142" s="14">
        <v>4.2299999999999997E-2</v>
      </c>
      <c r="U142">
        <v>4.2300000000000004</v>
      </c>
      <c r="V142" t="str">
        <f>IF(fin_table[[#This Row],[Interest Rate(%)]]&gt;4,"high","low")</f>
        <v>high</v>
      </c>
      <c r="W142" s="5">
        <v>26681.654999999999</v>
      </c>
      <c r="X142" s="5">
        <f>fin_table[[#This Row],[Interest Rate]]*fin_table[[#This Row],[Loan Amount]]</f>
        <v>1128.6340064999999</v>
      </c>
      <c r="Y142">
        <v>13</v>
      </c>
      <c r="Z142" s="3">
        <v>799</v>
      </c>
      <c r="AA142" s="3" t="str">
        <f t="shared" si="18"/>
        <v>Very Good</v>
      </c>
      <c r="AB142" s="3" cm="1">
        <f t="array" ref="AB142">_xlfn.IFS(fin_table[[#This Row],[Transaction Status]]="Failed", 1, fin_table[[#This Row],[Transaction Status]]="Completed",0,fin_table[[#This Row],[Transaction Status]]="Pending",2)</f>
        <v>1</v>
      </c>
      <c r="AC142" s="3" t="str">
        <f>IF(fin_table[[#This Row],[Loan Defaulters]]=1,"Default", "Good")</f>
        <v>Default</v>
      </c>
      <c r="AD142" s="3">
        <f t="shared" si="19"/>
        <v>4</v>
      </c>
      <c r="AE142" s="4">
        <v>3304.3</v>
      </c>
      <c r="AF142" s="4" t="str">
        <f>IF(fin_table[[#This Row],[Monthly Income]]&lt;3000, "Low Income", IF(fin_table[[#This Row],[Monthly Income]]&lt;=5000, "Middle Income", "High Income"))</f>
        <v>Middle Income</v>
      </c>
      <c r="AG142" t="s">
        <v>45</v>
      </c>
      <c r="AH142" t="s">
        <v>3635</v>
      </c>
      <c r="AI142" t="str">
        <f t="shared" si="20"/>
        <v>Low-Risk</v>
      </c>
    </row>
    <row r="143" spans="1:35" x14ac:dyDescent="0.35">
      <c r="A143" t="s">
        <v>598</v>
      </c>
      <c r="B143" t="s">
        <v>599</v>
      </c>
      <c r="C143" t="s">
        <v>600</v>
      </c>
      <c r="D143" s="1">
        <v>44938</v>
      </c>
      <c r="E143" s="1" t="str">
        <f t="shared" si="14"/>
        <v>12</v>
      </c>
      <c r="F143" s="1" t="str">
        <f t="shared" si="15"/>
        <v>Jan</v>
      </c>
      <c r="G143" s="6" t="s">
        <v>34</v>
      </c>
      <c r="H143" s="5">
        <v>5299.87</v>
      </c>
      <c r="I143" s="5" t="str">
        <f>IF(fin_table[[#This Row],[Account Balance]]&lt;20000,"Active", "Not Active")</f>
        <v>Not Active</v>
      </c>
      <c r="J143" s="5">
        <v>47310.6</v>
      </c>
      <c r="K143" s="5" t="str">
        <f t="shared" si="16"/>
        <v>Medium</v>
      </c>
      <c r="L143" s="6" t="s">
        <v>35</v>
      </c>
      <c r="M143">
        <v>20</v>
      </c>
      <c r="N143" s="6" t="str">
        <f t="shared" si="17"/>
        <v>Young Adults</v>
      </c>
      <c r="O143" s="6" t="s">
        <v>25</v>
      </c>
      <c r="P143" s="6" t="s">
        <v>50</v>
      </c>
      <c r="Q143" t="s">
        <v>601</v>
      </c>
      <c r="R143" s="6" t="s">
        <v>28</v>
      </c>
      <c r="S143" s="6" t="s">
        <v>62</v>
      </c>
      <c r="T143" s="14">
        <v>3.04E-2</v>
      </c>
      <c r="U143">
        <v>3.04</v>
      </c>
      <c r="V143" t="str">
        <f>IF(fin_table[[#This Row],[Interest Rate(%)]]&gt;4,"high","low")</f>
        <v>low</v>
      </c>
      <c r="W143" s="5">
        <v>34145.120000000003</v>
      </c>
      <c r="X143" s="5">
        <f>fin_table[[#This Row],[Interest Rate]]*fin_table[[#This Row],[Loan Amount]]</f>
        <v>1038.0116480000002</v>
      </c>
      <c r="Y143">
        <v>13</v>
      </c>
      <c r="Z143" s="3">
        <v>466</v>
      </c>
      <c r="AA143" s="3" t="str">
        <f t="shared" si="18"/>
        <v>Poor</v>
      </c>
      <c r="AB143" s="3" cm="1">
        <f t="array" ref="AB143">_xlfn.IFS(fin_table[[#This Row],[Transaction Status]]="Failed", 1, fin_table[[#This Row],[Transaction Status]]="Completed",0,fin_table[[#This Row],[Transaction Status]]="Pending",2)</f>
        <v>2</v>
      </c>
      <c r="AC143" s="3" t="str">
        <f>IF(fin_table[[#This Row],[Loan Defaulters]]=1,"Default", "Good")</f>
        <v>Good</v>
      </c>
      <c r="AD143" s="3">
        <f t="shared" si="19"/>
        <v>1</v>
      </c>
      <c r="AE143" s="4">
        <v>3927.67</v>
      </c>
      <c r="AF143" s="4" t="str">
        <f>IF(fin_table[[#This Row],[Monthly Income]]&lt;3000, "Low Income", IF(fin_table[[#This Row],[Monthly Income]]&lt;=5000, "Middle Income", "High Income"))</f>
        <v>Middle Income</v>
      </c>
      <c r="AG143" t="s">
        <v>30</v>
      </c>
      <c r="AH143" t="s">
        <v>3636</v>
      </c>
      <c r="AI143" t="str">
        <f t="shared" si="20"/>
        <v>High-Risk</v>
      </c>
    </row>
    <row r="144" spans="1:35" x14ac:dyDescent="0.35">
      <c r="A144" t="s">
        <v>602</v>
      </c>
      <c r="B144" t="s">
        <v>603</v>
      </c>
      <c r="C144" t="s">
        <v>604</v>
      </c>
      <c r="D144" s="1">
        <v>45053</v>
      </c>
      <c r="E144" s="1" t="str">
        <f t="shared" si="14"/>
        <v>07</v>
      </c>
      <c r="F144" s="1" t="str">
        <f t="shared" si="15"/>
        <v>May</v>
      </c>
      <c r="G144" s="6" t="s">
        <v>34</v>
      </c>
      <c r="H144" s="5">
        <v>423.19</v>
      </c>
      <c r="I144" s="5" t="str">
        <f>IF(fin_table[[#This Row],[Account Balance]]&lt;20000,"Active", "Not Active")</f>
        <v>Not Active</v>
      </c>
      <c r="J144" s="5">
        <v>35134.74</v>
      </c>
      <c r="K144" s="5" t="str">
        <f t="shared" si="16"/>
        <v>Medium</v>
      </c>
      <c r="L144" s="6" t="s">
        <v>24</v>
      </c>
      <c r="M144">
        <v>22</v>
      </c>
      <c r="N144" s="6" t="str">
        <f t="shared" si="17"/>
        <v>Young Adults</v>
      </c>
      <c r="O144" s="6" t="s">
        <v>25</v>
      </c>
      <c r="P144" s="6" t="s">
        <v>50</v>
      </c>
      <c r="Q144" t="s">
        <v>605</v>
      </c>
      <c r="R144" s="6" t="s">
        <v>28</v>
      </c>
      <c r="S144" s="6" t="s">
        <v>29</v>
      </c>
      <c r="T144" s="14">
        <v>4.9099999999999998E-2</v>
      </c>
      <c r="U144">
        <v>4.91</v>
      </c>
      <c r="V144" t="str">
        <f>IF(fin_table[[#This Row],[Interest Rate(%)]]&gt;4,"high","low")</f>
        <v>high</v>
      </c>
      <c r="W144" s="5">
        <v>25328.38</v>
      </c>
      <c r="X144" s="5">
        <f>fin_table[[#This Row],[Interest Rate]]*fin_table[[#This Row],[Loan Amount]]</f>
        <v>1243.623458</v>
      </c>
      <c r="Y144">
        <v>25</v>
      </c>
      <c r="Z144" s="3">
        <v>559</v>
      </c>
      <c r="AA144" s="3" t="str">
        <f t="shared" si="18"/>
        <v>Poor</v>
      </c>
      <c r="AB144" s="3" cm="1">
        <f t="array" ref="AB144">_xlfn.IFS(fin_table[[#This Row],[Transaction Status]]="Failed", 1, fin_table[[#This Row],[Transaction Status]]="Completed",0,fin_table[[#This Row],[Transaction Status]]="Pending",2)</f>
        <v>1</v>
      </c>
      <c r="AC144" s="3" t="str">
        <f>IF(fin_table[[#This Row],[Loan Defaulters]]=1,"Default", "Good")</f>
        <v>Default</v>
      </c>
      <c r="AD144" s="3">
        <f t="shared" si="19"/>
        <v>1</v>
      </c>
      <c r="AE144" s="4">
        <v>11126.46</v>
      </c>
      <c r="AF144" s="4" t="str">
        <f>IF(fin_table[[#This Row],[Monthly Income]]&lt;3000, "Low Income", IF(fin_table[[#This Row],[Monthly Income]]&lt;=5000, "Middle Income", "High Income"))</f>
        <v>High Income</v>
      </c>
      <c r="AG144" t="s">
        <v>45</v>
      </c>
      <c r="AH144" t="s">
        <v>3636</v>
      </c>
      <c r="AI144" t="str">
        <f t="shared" si="20"/>
        <v>Low-Risk</v>
      </c>
    </row>
    <row r="145" spans="1:35" x14ac:dyDescent="0.35">
      <c r="A145" t="s">
        <v>606</v>
      </c>
      <c r="B145" t="s">
        <v>607</v>
      </c>
      <c r="C145" t="s">
        <v>608</v>
      </c>
      <c r="D145" s="1">
        <v>44979</v>
      </c>
      <c r="E145" s="1" t="str">
        <f t="shared" si="14"/>
        <v>22</v>
      </c>
      <c r="F145" s="1" t="str">
        <f t="shared" si="15"/>
        <v>Feb</v>
      </c>
      <c r="G145" s="6" t="s">
        <v>23</v>
      </c>
      <c r="H145" s="5">
        <v>8698.66</v>
      </c>
      <c r="I145" s="5" t="str">
        <f>IF(fin_table[[#This Row],[Account Balance]]&lt;20000,"Active", "Not Active")</f>
        <v>Not Active</v>
      </c>
      <c r="J145" s="5">
        <v>25289.48</v>
      </c>
      <c r="K145" s="5" t="str">
        <f t="shared" si="16"/>
        <v>Medium</v>
      </c>
      <c r="L145" s="6" t="s">
        <v>100</v>
      </c>
      <c r="M145">
        <v>40</v>
      </c>
      <c r="N145" s="6" t="str">
        <f t="shared" si="17"/>
        <v>Middle-Aged</v>
      </c>
      <c r="O145" s="6" t="s">
        <v>25</v>
      </c>
      <c r="P145" s="6" t="s">
        <v>36</v>
      </c>
      <c r="Q145" t="s">
        <v>609</v>
      </c>
      <c r="R145" s="6" t="s">
        <v>38</v>
      </c>
      <c r="S145" s="6" t="s">
        <v>62</v>
      </c>
      <c r="T145" s="14">
        <v>2.1299999999999999E-2</v>
      </c>
      <c r="U145">
        <v>2.13</v>
      </c>
      <c r="V145" t="str">
        <f>IF(fin_table[[#This Row],[Interest Rate(%)]]&gt;4,"high","low")</f>
        <v>low</v>
      </c>
      <c r="W145" s="5">
        <v>48591.12</v>
      </c>
      <c r="X145" s="5">
        <f>fin_table[[#This Row],[Interest Rate]]*fin_table[[#This Row],[Loan Amount]]</f>
        <v>1034.9908560000001</v>
      </c>
      <c r="Y145">
        <v>13</v>
      </c>
      <c r="Z145" s="3">
        <v>491</v>
      </c>
      <c r="AA145" s="3" t="str">
        <f t="shared" si="18"/>
        <v>Poor</v>
      </c>
      <c r="AB145" s="3" cm="1">
        <f t="array" ref="AB145">_xlfn.IFS(fin_table[[#This Row],[Transaction Status]]="Failed", 1, fin_table[[#This Row],[Transaction Status]]="Completed",0,fin_table[[#This Row],[Transaction Status]]="Pending",2)</f>
        <v>2</v>
      </c>
      <c r="AC145" s="3" t="str">
        <f>IF(fin_table[[#This Row],[Loan Defaulters]]=1,"Default", "Good")</f>
        <v>Good</v>
      </c>
      <c r="AD145" s="3">
        <f t="shared" si="19"/>
        <v>1</v>
      </c>
      <c r="AE145" s="4">
        <v>11434.87</v>
      </c>
      <c r="AF145" s="4" t="str">
        <f>IF(fin_table[[#This Row],[Monthly Income]]&lt;3000, "Low Income", IF(fin_table[[#This Row],[Monthly Income]]&lt;=5000, "Middle Income", "High Income"))</f>
        <v>High Income</v>
      </c>
      <c r="AG145" t="s">
        <v>45</v>
      </c>
      <c r="AH145" t="s">
        <v>3636</v>
      </c>
      <c r="AI145" t="str">
        <f t="shared" si="20"/>
        <v>High-Risk</v>
      </c>
    </row>
    <row r="146" spans="1:35" x14ac:dyDescent="0.35">
      <c r="A146" t="s">
        <v>610</v>
      </c>
      <c r="B146" t="s">
        <v>611</v>
      </c>
      <c r="C146" t="s">
        <v>612</v>
      </c>
      <c r="D146" s="1">
        <v>45120</v>
      </c>
      <c r="E146" s="1" t="str">
        <f t="shared" si="14"/>
        <v>13</v>
      </c>
      <c r="F146" s="1" t="str">
        <f t="shared" si="15"/>
        <v>Jul</v>
      </c>
      <c r="G146" s="6" t="s">
        <v>34</v>
      </c>
      <c r="H146" s="5">
        <v>740.4</v>
      </c>
      <c r="I146" s="5" t="str">
        <f>IF(fin_table[[#This Row],[Account Balance]]&lt;20000,"Active", "Not Active")</f>
        <v>Not Active</v>
      </c>
      <c r="J146" s="5">
        <v>46723.23</v>
      </c>
      <c r="K146" s="5" t="str">
        <f t="shared" si="16"/>
        <v>Medium</v>
      </c>
      <c r="L146" s="6" t="s">
        <v>24</v>
      </c>
      <c r="M146">
        <v>54</v>
      </c>
      <c r="N146" s="6" t="str">
        <f t="shared" si="17"/>
        <v>Older Adults</v>
      </c>
      <c r="O146" s="6" t="s">
        <v>42</v>
      </c>
      <c r="P146" s="6" t="s">
        <v>50</v>
      </c>
      <c r="Q146" t="s">
        <v>92</v>
      </c>
      <c r="R146" s="6" t="s">
        <v>28</v>
      </c>
      <c r="S146" s="6" t="s">
        <v>62</v>
      </c>
      <c r="T146" s="14">
        <v>2.92E-2</v>
      </c>
      <c r="U146">
        <v>2.92</v>
      </c>
      <c r="V146" t="str">
        <f>IF(fin_table[[#This Row],[Interest Rate(%)]]&gt;4,"high","low")</f>
        <v>low</v>
      </c>
      <c r="W146" s="5">
        <v>26681.654999999999</v>
      </c>
      <c r="X146" s="5">
        <f>fin_table[[#This Row],[Interest Rate]]*fin_table[[#This Row],[Loan Amount]]</f>
        <v>779.10432600000001</v>
      </c>
      <c r="Y146">
        <v>13</v>
      </c>
      <c r="Z146" s="3">
        <v>501</v>
      </c>
      <c r="AA146" s="3" t="str">
        <f t="shared" si="18"/>
        <v>Poor</v>
      </c>
      <c r="AB146" s="3" cm="1">
        <f t="array" ref="AB146">_xlfn.IFS(fin_table[[#This Row],[Transaction Status]]="Failed", 1, fin_table[[#This Row],[Transaction Status]]="Completed",0,fin_table[[#This Row],[Transaction Status]]="Pending",2)</f>
        <v>2</v>
      </c>
      <c r="AC146" s="3" t="str">
        <f>IF(fin_table[[#This Row],[Loan Defaulters]]=1,"Default", "Good")</f>
        <v>Good</v>
      </c>
      <c r="AD146" s="3">
        <f t="shared" si="19"/>
        <v>1</v>
      </c>
      <c r="AE146" s="4">
        <v>10765.08</v>
      </c>
      <c r="AF146" s="4" t="str">
        <f>IF(fin_table[[#This Row],[Monthly Income]]&lt;3000, "Low Income", IF(fin_table[[#This Row],[Monthly Income]]&lt;=5000, "Middle Income", "High Income"))</f>
        <v>High Income</v>
      </c>
      <c r="AG146" t="s">
        <v>45</v>
      </c>
      <c r="AH146" t="s">
        <v>3635</v>
      </c>
      <c r="AI146" t="str">
        <f t="shared" si="20"/>
        <v>Low-Risk</v>
      </c>
    </row>
    <row r="147" spans="1:35" x14ac:dyDescent="0.35">
      <c r="A147" t="s">
        <v>613</v>
      </c>
      <c r="B147" t="s">
        <v>614</v>
      </c>
      <c r="C147" t="s">
        <v>615</v>
      </c>
      <c r="D147" s="1">
        <v>45083</v>
      </c>
      <c r="E147" s="1" t="str">
        <f t="shared" si="14"/>
        <v>06</v>
      </c>
      <c r="F147" s="1" t="str">
        <f t="shared" si="15"/>
        <v>Jun</v>
      </c>
      <c r="G147" s="6" t="s">
        <v>23</v>
      </c>
      <c r="H147" s="5">
        <v>9562.66</v>
      </c>
      <c r="I147" s="5" t="str">
        <f>IF(fin_table[[#This Row],[Account Balance]]&lt;20000,"Active", "Not Active")</f>
        <v>Not Active</v>
      </c>
      <c r="J147" s="5">
        <v>22515.68</v>
      </c>
      <c r="K147" s="5" t="str">
        <f t="shared" si="16"/>
        <v>Medium</v>
      </c>
      <c r="L147" s="6" t="s">
        <v>49</v>
      </c>
      <c r="M147">
        <v>26</v>
      </c>
      <c r="N147" s="6" t="str">
        <f t="shared" si="17"/>
        <v>Adults</v>
      </c>
      <c r="O147" s="6" t="s">
        <v>42</v>
      </c>
      <c r="P147" s="6" t="s">
        <v>26</v>
      </c>
      <c r="Q147" t="s">
        <v>616</v>
      </c>
      <c r="R147" s="6" t="s">
        <v>38</v>
      </c>
      <c r="S147" s="6" t="s">
        <v>29</v>
      </c>
      <c r="T147" s="14">
        <v>2.7900000000000001E-2</v>
      </c>
      <c r="U147">
        <v>2.79</v>
      </c>
      <c r="V147" t="str">
        <f>IF(fin_table[[#This Row],[Interest Rate(%)]]&gt;4,"high","low")</f>
        <v>low</v>
      </c>
      <c r="W147" s="5">
        <v>26681.654999999999</v>
      </c>
      <c r="X147" s="5">
        <f>fin_table[[#This Row],[Interest Rate]]*fin_table[[#This Row],[Loan Amount]]</f>
        <v>744.41817449999996</v>
      </c>
      <c r="Y147">
        <v>13</v>
      </c>
      <c r="Z147" s="3">
        <v>484</v>
      </c>
      <c r="AA147" s="3" t="str">
        <f t="shared" si="18"/>
        <v>Poor</v>
      </c>
      <c r="AB147" s="3" cm="1">
        <f t="array" ref="AB147">_xlfn.IFS(fin_table[[#This Row],[Transaction Status]]="Failed", 1, fin_table[[#This Row],[Transaction Status]]="Completed",0,fin_table[[#This Row],[Transaction Status]]="Pending",2)</f>
        <v>1</v>
      </c>
      <c r="AC147" s="3" t="str">
        <f>IF(fin_table[[#This Row],[Loan Defaulters]]=1,"Default", "Good")</f>
        <v>Default</v>
      </c>
      <c r="AD147" s="3">
        <f t="shared" si="19"/>
        <v>1</v>
      </c>
      <c r="AE147" s="4">
        <v>6369.02</v>
      </c>
      <c r="AF147" s="4" t="str">
        <f>IF(fin_table[[#This Row],[Monthly Income]]&lt;3000, "Low Income", IF(fin_table[[#This Row],[Monthly Income]]&lt;=5000, "Middle Income", "High Income"))</f>
        <v>High Income</v>
      </c>
      <c r="AG147" t="s">
        <v>63</v>
      </c>
      <c r="AH147" t="s">
        <v>3635</v>
      </c>
      <c r="AI147" t="str">
        <f t="shared" si="20"/>
        <v>Low-Risk</v>
      </c>
    </row>
    <row r="148" spans="1:35" x14ac:dyDescent="0.35">
      <c r="A148" t="s">
        <v>617</v>
      </c>
      <c r="B148" t="s">
        <v>618</v>
      </c>
      <c r="C148" t="s">
        <v>619</v>
      </c>
      <c r="D148" s="1">
        <v>44721</v>
      </c>
      <c r="E148" s="1" t="str">
        <f t="shared" si="14"/>
        <v>09</v>
      </c>
      <c r="F148" s="1" t="str">
        <f t="shared" si="15"/>
        <v>Jun</v>
      </c>
      <c r="G148" s="6" t="s">
        <v>34</v>
      </c>
      <c r="H148" s="5">
        <v>348.91</v>
      </c>
      <c r="I148" s="5" t="str">
        <f>IF(fin_table[[#This Row],[Account Balance]]&lt;20000,"Active", "Not Active")</f>
        <v>Not Active</v>
      </c>
      <c r="J148" s="5">
        <v>49041.34</v>
      </c>
      <c r="K148" s="5" t="str">
        <f t="shared" si="16"/>
        <v>Medium</v>
      </c>
      <c r="L148" s="6" t="s">
        <v>24</v>
      </c>
      <c r="M148">
        <v>32</v>
      </c>
      <c r="N148" s="6" t="str">
        <f t="shared" si="17"/>
        <v>Adults</v>
      </c>
      <c r="O148" s="6" t="s">
        <v>25</v>
      </c>
      <c r="P148" s="6" t="s">
        <v>36</v>
      </c>
      <c r="Q148" t="s">
        <v>620</v>
      </c>
      <c r="R148" s="6" t="s">
        <v>52</v>
      </c>
      <c r="S148" s="6" t="s">
        <v>62</v>
      </c>
      <c r="T148" s="14">
        <v>1.4800000000000001E-2</v>
      </c>
      <c r="U148">
        <v>1.48</v>
      </c>
      <c r="V148" t="str">
        <f>IF(fin_table[[#This Row],[Interest Rate(%)]]&gt;4,"high","low")</f>
        <v>low</v>
      </c>
      <c r="W148" s="5">
        <v>23858.36</v>
      </c>
      <c r="X148" s="5">
        <f>fin_table[[#This Row],[Interest Rate]]*fin_table[[#This Row],[Loan Amount]]</f>
        <v>353.10372800000005</v>
      </c>
      <c r="Y148">
        <v>13</v>
      </c>
      <c r="Z148" s="3">
        <v>457</v>
      </c>
      <c r="AA148" s="3" t="str">
        <f t="shared" si="18"/>
        <v>Poor</v>
      </c>
      <c r="AB148" s="3" cm="1">
        <f t="array" ref="AB148">_xlfn.IFS(fin_table[[#This Row],[Transaction Status]]="Failed", 1, fin_table[[#This Row],[Transaction Status]]="Completed",0,fin_table[[#This Row],[Transaction Status]]="Pending",2)</f>
        <v>2</v>
      </c>
      <c r="AC148" s="3" t="str">
        <f>IF(fin_table[[#This Row],[Loan Defaulters]]=1,"Default", "Good")</f>
        <v>Good</v>
      </c>
      <c r="AD148" s="3">
        <f t="shared" si="19"/>
        <v>1</v>
      </c>
      <c r="AE148" s="4">
        <v>4207.1000000000004</v>
      </c>
      <c r="AF148" s="4" t="str">
        <f>IF(fin_table[[#This Row],[Monthly Income]]&lt;3000, "Low Income", IF(fin_table[[#This Row],[Monthly Income]]&lt;=5000, "Middle Income", "High Income"))</f>
        <v>Middle Income</v>
      </c>
      <c r="AG148" t="s">
        <v>30</v>
      </c>
      <c r="AH148" t="s">
        <v>3636</v>
      </c>
      <c r="AI148" t="str">
        <f t="shared" si="20"/>
        <v>Low-Risk</v>
      </c>
    </row>
    <row r="149" spans="1:35" x14ac:dyDescent="0.35">
      <c r="A149" t="s">
        <v>621</v>
      </c>
      <c r="B149" t="s">
        <v>622</v>
      </c>
      <c r="C149" t="s">
        <v>623</v>
      </c>
      <c r="D149" s="1">
        <v>45041</v>
      </c>
      <c r="E149" s="1" t="str">
        <f t="shared" si="14"/>
        <v>25</v>
      </c>
      <c r="F149" s="1" t="str">
        <f t="shared" si="15"/>
        <v>Apr</v>
      </c>
      <c r="G149" s="6" t="s">
        <v>71</v>
      </c>
      <c r="H149" s="5">
        <v>6975.06</v>
      </c>
      <c r="I149" s="5" t="str">
        <f>IF(fin_table[[#This Row],[Account Balance]]&lt;20000,"Active", "Not Active")</f>
        <v>Not Active</v>
      </c>
      <c r="J149" s="5">
        <v>26101.95</v>
      </c>
      <c r="K149" s="5" t="str">
        <f t="shared" si="16"/>
        <v>Medium</v>
      </c>
      <c r="L149" s="6" t="s">
        <v>125</v>
      </c>
      <c r="M149">
        <v>20</v>
      </c>
      <c r="N149" s="6" t="str">
        <f t="shared" si="17"/>
        <v>Young Adults</v>
      </c>
      <c r="O149" s="6" t="s">
        <v>42</v>
      </c>
      <c r="P149" s="6" t="s">
        <v>26</v>
      </c>
      <c r="Q149" t="s">
        <v>37</v>
      </c>
      <c r="R149" s="6" t="s">
        <v>38</v>
      </c>
      <c r="S149" s="6" t="s">
        <v>62</v>
      </c>
      <c r="T149" s="14">
        <v>2.7E-2</v>
      </c>
      <c r="U149">
        <v>2.7E-2</v>
      </c>
      <c r="V149" t="str">
        <f>IF(fin_table[[#This Row],[Interest Rate(%)]]&gt;4,"high","low")</f>
        <v>low</v>
      </c>
      <c r="W149" s="5">
        <v>26681.654999999999</v>
      </c>
      <c r="X149" s="5">
        <f>fin_table[[#This Row],[Interest Rate]]*fin_table[[#This Row],[Loan Amount]]</f>
        <v>720.40468499999997</v>
      </c>
      <c r="Y149">
        <v>13</v>
      </c>
      <c r="Z149" s="3">
        <v>398</v>
      </c>
      <c r="AA149" s="3" t="str">
        <f t="shared" si="18"/>
        <v>Poor</v>
      </c>
      <c r="AB149" s="3" cm="1">
        <f t="array" ref="AB149">_xlfn.IFS(fin_table[[#This Row],[Transaction Status]]="Failed", 1, fin_table[[#This Row],[Transaction Status]]="Completed",0,fin_table[[#This Row],[Transaction Status]]="Pending",2)</f>
        <v>2</v>
      </c>
      <c r="AC149" s="3" t="str">
        <f>IF(fin_table[[#This Row],[Loan Defaulters]]=1,"Default", "Good")</f>
        <v>Good</v>
      </c>
      <c r="AD149" s="3">
        <f t="shared" si="19"/>
        <v>1</v>
      </c>
      <c r="AE149" s="4">
        <v>9549.89</v>
      </c>
      <c r="AF149" s="4" t="str">
        <f>IF(fin_table[[#This Row],[Monthly Income]]&lt;3000, "Low Income", IF(fin_table[[#This Row],[Monthly Income]]&lt;=5000, "Middle Income", "High Income"))</f>
        <v>High Income</v>
      </c>
      <c r="AG149" t="s">
        <v>63</v>
      </c>
      <c r="AH149" t="s">
        <v>3635</v>
      </c>
      <c r="AI149" t="str">
        <f t="shared" si="20"/>
        <v>Low-Risk</v>
      </c>
    </row>
    <row r="150" spans="1:35" x14ac:dyDescent="0.35">
      <c r="A150" t="s">
        <v>624</v>
      </c>
      <c r="B150" t="s">
        <v>625</v>
      </c>
      <c r="C150" t="s">
        <v>626</v>
      </c>
      <c r="D150" s="1">
        <v>44996</v>
      </c>
      <c r="E150" s="1" t="str">
        <f t="shared" si="14"/>
        <v>11</v>
      </c>
      <c r="F150" s="1" t="str">
        <f t="shared" si="15"/>
        <v>Mar</v>
      </c>
      <c r="G150" s="6" t="s">
        <v>34</v>
      </c>
      <c r="H150" s="5">
        <v>913.85</v>
      </c>
      <c r="I150" s="5" t="str">
        <f>IF(fin_table[[#This Row],[Account Balance]]&lt;20000,"Active", "Not Active")</f>
        <v>Active</v>
      </c>
      <c r="J150" s="5">
        <v>6600</v>
      </c>
      <c r="K150" s="5" t="str">
        <f t="shared" si="16"/>
        <v>Low</v>
      </c>
      <c r="L150" s="6" t="s">
        <v>125</v>
      </c>
      <c r="M150">
        <v>46</v>
      </c>
      <c r="N150" s="6" t="str">
        <f t="shared" si="17"/>
        <v>Older Adults</v>
      </c>
      <c r="O150" s="6" t="s">
        <v>42</v>
      </c>
      <c r="P150" s="6" t="s">
        <v>26</v>
      </c>
      <c r="Q150" t="s">
        <v>300</v>
      </c>
      <c r="R150" s="6" t="s">
        <v>52</v>
      </c>
      <c r="S150" s="6" t="s">
        <v>44</v>
      </c>
      <c r="T150" s="14">
        <v>2.1499999999999998E-2</v>
      </c>
      <c r="U150">
        <v>2.15</v>
      </c>
      <c r="V150" t="str">
        <f>IF(fin_table[[#This Row],[Interest Rate(%)]]&gt;4,"high","low")</f>
        <v>low</v>
      </c>
      <c r="W150" s="5">
        <v>26681.654999999999</v>
      </c>
      <c r="X150" s="5">
        <f>fin_table[[#This Row],[Interest Rate]]*fin_table[[#This Row],[Loan Amount]]</f>
        <v>573.65558249999992</v>
      </c>
      <c r="Y150">
        <v>13</v>
      </c>
      <c r="Z150" s="3">
        <v>540</v>
      </c>
      <c r="AA150" s="3" t="str">
        <f t="shared" si="18"/>
        <v>Poor</v>
      </c>
      <c r="AB150" s="3" cm="1">
        <f t="array" ref="AB150">_xlfn.IFS(fin_table[[#This Row],[Transaction Status]]="Failed", 1, fin_table[[#This Row],[Transaction Status]]="Completed",0,fin_table[[#This Row],[Transaction Status]]="Pending",2)</f>
        <v>0</v>
      </c>
      <c r="AC150" s="3" t="str">
        <f>IF(fin_table[[#This Row],[Loan Defaulters]]=1,"Default", "Good")</f>
        <v>Good</v>
      </c>
      <c r="AD150" s="3">
        <f t="shared" si="19"/>
        <v>1</v>
      </c>
      <c r="AE150" s="4">
        <v>8287.85</v>
      </c>
      <c r="AF150" s="4" t="str">
        <f>IF(fin_table[[#This Row],[Monthly Income]]&lt;3000, "Low Income", IF(fin_table[[#This Row],[Monthly Income]]&lt;=5000, "Middle Income", "High Income"))</f>
        <v>High Income</v>
      </c>
      <c r="AG150" t="s">
        <v>30</v>
      </c>
      <c r="AH150" t="s">
        <v>3635</v>
      </c>
      <c r="AI150" t="str">
        <f t="shared" si="20"/>
        <v>Low-Risk</v>
      </c>
    </row>
    <row r="151" spans="1:35" x14ac:dyDescent="0.35">
      <c r="A151" t="s">
        <v>627</v>
      </c>
      <c r="B151" t="s">
        <v>628</v>
      </c>
      <c r="C151" t="s">
        <v>629</v>
      </c>
      <c r="D151" s="1">
        <v>44784</v>
      </c>
      <c r="E151" s="1" t="str">
        <f t="shared" si="14"/>
        <v>11</v>
      </c>
      <c r="F151" s="1" t="str">
        <f t="shared" si="15"/>
        <v>Aug</v>
      </c>
      <c r="G151" s="6" t="s">
        <v>71</v>
      </c>
      <c r="H151" s="5">
        <v>9115.7000000000007</v>
      </c>
      <c r="I151" s="5" t="str">
        <f>IF(fin_table[[#This Row],[Account Balance]]&lt;20000,"Active", "Not Active")</f>
        <v>Not Active</v>
      </c>
      <c r="J151" s="5">
        <v>38475.25</v>
      </c>
      <c r="K151" s="5" t="str">
        <f t="shared" si="16"/>
        <v>Medium</v>
      </c>
      <c r="L151" s="6" t="s">
        <v>35</v>
      </c>
      <c r="M151">
        <v>23</v>
      </c>
      <c r="N151" s="6" t="str">
        <f t="shared" si="17"/>
        <v>Young Adults</v>
      </c>
      <c r="O151" s="6" t="s">
        <v>42</v>
      </c>
      <c r="P151" s="6" t="s">
        <v>36</v>
      </c>
      <c r="Q151" t="s">
        <v>630</v>
      </c>
      <c r="R151" s="6" t="s">
        <v>28</v>
      </c>
      <c r="S151" s="6" t="s">
        <v>62</v>
      </c>
      <c r="T151" s="14">
        <v>1.6400000000000001E-2</v>
      </c>
      <c r="U151">
        <v>1.64</v>
      </c>
      <c r="V151" t="str">
        <f>IF(fin_table[[#This Row],[Interest Rate(%)]]&gt;4,"high","low")</f>
        <v>low</v>
      </c>
      <c r="W151" s="5">
        <v>17316.95</v>
      </c>
      <c r="X151" s="5">
        <f>fin_table[[#This Row],[Interest Rate]]*fin_table[[#This Row],[Loan Amount]]</f>
        <v>283.99798000000004</v>
      </c>
      <c r="Y151">
        <v>23</v>
      </c>
      <c r="Z151" s="3">
        <v>790</v>
      </c>
      <c r="AA151" s="3" t="str">
        <f t="shared" si="18"/>
        <v>Very Good</v>
      </c>
      <c r="AB151" s="3" cm="1">
        <f t="array" ref="AB151">_xlfn.IFS(fin_table[[#This Row],[Transaction Status]]="Failed", 1, fin_table[[#This Row],[Transaction Status]]="Completed",0,fin_table[[#This Row],[Transaction Status]]="Pending",2)</f>
        <v>2</v>
      </c>
      <c r="AC151" s="3" t="str">
        <f>IF(fin_table[[#This Row],[Loan Defaulters]]=1,"Default", "Good")</f>
        <v>Good</v>
      </c>
      <c r="AD151" s="3">
        <f t="shared" si="19"/>
        <v>4</v>
      </c>
      <c r="AE151" s="4">
        <v>11474.84</v>
      </c>
      <c r="AF151" s="4" t="str">
        <f>IF(fin_table[[#This Row],[Monthly Income]]&lt;3000, "Low Income", IF(fin_table[[#This Row],[Monthly Income]]&lt;=5000, "Middle Income", "High Income"))</f>
        <v>High Income</v>
      </c>
      <c r="AG151" t="s">
        <v>63</v>
      </c>
      <c r="AH151" t="s">
        <v>3636</v>
      </c>
      <c r="AI151" t="str">
        <f t="shared" si="20"/>
        <v>Low-Risk</v>
      </c>
    </row>
    <row r="152" spans="1:35" x14ac:dyDescent="0.35">
      <c r="A152" t="s">
        <v>631</v>
      </c>
      <c r="B152" t="s">
        <v>632</v>
      </c>
      <c r="C152" t="s">
        <v>633</v>
      </c>
      <c r="D152" s="1">
        <v>45108</v>
      </c>
      <c r="E152" s="1" t="str">
        <f t="shared" si="14"/>
        <v>01</v>
      </c>
      <c r="F152" s="1" t="str">
        <f t="shared" si="15"/>
        <v>Jul</v>
      </c>
      <c r="G152" s="6" t="s">
        <v>71</v>
      </c>
      <c r="H152" s="5">
        <v>4697.8900000000003</v>
      </c>
      <c r="I152" s="5" t="str">
        <f>IF(fin_table[[#This Row],[Account Balance]]&lt;20000,"Active", "Not Active")</f>
        <v>Not Active</v>
      </c>
      <c r="J152" s="5">
        <v>34265.99</v>
      </c>
      <c r="K152" s="5" t="str">
        <f t="shared" si="16"/>
        <v>Medium</v>
      </c>
      <c r="L152" s="6" t="s">
        <v>35</v>
      </c>
      <c r="M152">
        <v>34</v>
      </c>
      <c r="N152" s="6" t="str">
        <f t="shared" si="17"/>
        <v>Adults</v>
      </c>
      <c r="O152" s="6" t="s">
        <v>42</v>
      </c>
      <c r="P152" s="6" t="s">
        <v>26</v>
      </c>
      <c r="Q152" t="s">
        <v>634</v>
      </c>
      <c r="R152" s="6" t="s">
        <v>52</v>
      </c>
      <c r="S152" s="6" t="s">
        <v>62</v>
      </c>
      <c r="T152" s="14">
        <v>2.1299999999999999E-2</v>
      </c>
      <c r="U152">
        <v>2.13</v>
      </c>
      <c r="V152" t="str">
        <f>IF(fin_table[[#This Row],[Interest Rate(%)]]&gt;4,"high","low")</f>
        <v>low</v>
      </c>
      <c r="W152" s="5">
        <v>26681.654999999999</v>
      </c>
      <c r="X152" s="5">
        <f>fin_table[[#This Row],[Interest Rate]]*fin_table[[#This Row],[Loan Amount]]</f>
        <v>568.31925149999995</v>
      </c>
      <c r="Y152">
        <v>27</v>
      </c>
      <c r="Z152" s="3">
        <v>501</v>
      </c>
      <c r="AA152" s="3" t="str">
        <f t="shared" si="18"/>
        <v>Poor</v>
      </c>
      <c r="AB152" s="3" cm="1">
        <f t="array" ref="AB152">_xlfn.IFS(fin_table[[#This Row],[Transaction Status]]="Failed", 1, fin_table[[#This Row],[Transaction Status]]="Completed",0,fin_table[[#This Row],[Transaction Status]]="Pending",2)</f>
        <v>2</v>
      </c>
      <c r="AC152" s="3" t="str">
        <f>IF(fin_table[[#This Row],[Loan Defaulters]]=1,"Default", "Good")</f>
        <v>Good</v>
      </c>
      <c r="AD152" s="3">
        <f t="shared" si="19"/>
        <v>1</v>
      </c>
      <c r="AE152" s="4">
        <v>7737.68</v>
      </c>
      <c r="AF152" s="4" t="str">
        <f>IF(fin_table[[#This Row],[Monthly Income]]&lt;3000, "Low Income", IF(fin_table[[#This Row],[Monthly Income]]&lt;=5000, "Middle Income", "High Income"))</f>
        <v>High Income</v>
      </c>
      <c r="AG152" t="s">
        <v>63</v>
      </c>
      <c r="AH152" t="s">
        <v>3635</v>
      </c>
      <c r="AI152" t="str">
        <f t="shared" si="20"/>
        <v>Low-Risk</v>
      </c>
    </row>
    <row r="153" spans="1:35" x14ac:dyDescent="0.35">
      <c r="A153" t="s">
        <v>635</v>
      </c>
      <c r="B153" t="s">
        <v>636</v>
      </c>
      <c r="C153" t="s">
        <v>637</v>
      </c>
      <c r="D153" s="1">
        <v>44979</v>
      </c>
      <c r="E153" s="1" t="str">
        <f t="shared" si="14"/>
        <v>22</v>
      </c>
      <c r="F153" s="1" t="str">
        <f t="shared" si="15"/>
        <v>Feb</v>
      </c>
      <c r="G153" s="6" t="s">
        <v>34</v>
      </c>
      <c r="H153" s="5">
        <v>1461.49</v>
      </c>
      <c r="I153" s="5" t="str">
        <f>IF(fin_table[[#This Row],[Account Balance]]&lt;20000,"Active", "Not Active")</f>
        <v>Not Active</v>
      </c>
      <c r="J153" s="5">
        <v>38876.35</v>
      </c>
      <c r="K153" s="5" t="str">
        <f t="shared" si="16"/>
        <v>Medium</v>
      </c>
      <c r="L153" s="6" t="s">
        <v>35</v>
      </c>
      <c r="M153">
        <v>43</v>
      </c>
      <c r="N153" s="6" t="str">
        <f t="shared" si="17"/>
        <v>Middle-Aged</v>
      </c>
      <c r="O153" s="6" t="s">
        <v>25</v>
      </c>
      <c r="P153" s="6" t="s">
        <v>26</v>
      </c>
      <c r="Q153" t="s">
        <v>601</v>
      </c>
      <c r="R153" s="6" t="s">
        <v>28</v>
      </c>
      <c r="S153" s="6" t="s">
        <v>29</v>
      </c>
      <c r="T153" s="14">
        <v>1.9300000000000001E-2</v>
      </c>
      <c r="U153">
        <v>1.93</v>
      </c>
      <c r="V153" t="str">
        <f>IF(fin_table[[#This Row],[Interest Rate(%)]]&gt;4,"high","low")</f>
        <v>low</v>
      </c>
      <c r="W153" s="5">
        <v>20138.47</v>
      </c>
      <c r="X153" s="5">
        <f>fin_table[[#This Row],[Interest Rate]]*fin_table[[#This Row],[Loan Amount]]</f>
        <v>388.67247100000003</v>
      </c>
      <c r="Y153">
        <v>17</v>
      </c>
      <c r="Z153" s="3">
        <v>808</v>
      </c>
      <c r="AA153" s="3" t="str">
        <f t="shared" si="18"/>
        <v>Excellent</v>
      </c>
      <c r="AB153" s="3" cm="1">
        <f t="array" ref="AB153">_xlfn.IFS(fin_table[[#This Row],[Transaction Status]]="Failed", 1, fin_table[[#This Row],[Transaction Status]]="Completed",0,fin_table[[#This Row],[Transaction Status]]="Pending",2)</f>
        <v>1</v>
      </c>
      <c r="AC153" s="3" t="str">
        <f>IF(fin_table[[#This Row],[Loan Defaulters]]=1,"Default", "Good")</f>
        <v>Default</v>
      </c>
      <c r="AD153" s="3">
        <f t="shared" si="19"/>
        <v>5</v>
      </c>
      <c r="AE153" s="4">
        <v>6402.32</v>
      </c>
      <c r="AF153" s="4" t="str">
        <f>IF(fin_table[[#This Row],[Monthly Income]]&lt;3000, "Low Income", IF(fin_table[[#This Row],[Monthly Income]]&lt;=5000, "Middle Income", "High Income"))</f>
        <v>High Income</v>
      </c>
      <c r="AG153" t="s">
        <v>45</v>
      </c>
      <c r="AH153" t="s">
        <v>3636</v>
      </c>
      <c r="AI153" t="str">
        <f t="shared" si="20"/>
        <v>Low-Risk</v>
      </c>
    </row>
    <row r="154" spans="1:35" x14ac:dyDescent="0.35">
      <c r="A154" t="s">
        <v>638</v>
      </c>
      <c r="B154" t="s">
        <v>639</v>
      </c>
      <c r="C154" t="s">
        <v>640</v>
      </c>
      <c r="D154" s="1">
        <v>44749</v>
      </c>
      <c r="E154" s="1" t="str">
        <f t="shared" si="14"/>
        <v>07</v>
      </c>
      <c r="F154" s="1" t="str">
        <f t="shared" si="15"/>
        <v>Jul</v>
      </c>
      <c r="G154" s="6" t="s">
        <v>71</v>
      </c>
      <c r="H154" s="5">
        <v>3474.08</v>
      </c>
      <c r="I154" s="5" t="str">
        <f>IF(fin_table[[#This Row],[Account Balance]]&lt;20000,"Active", "Not Active")</f>
        <v>Not Active</v>
      </c>
      <c r="J154" s="5">
        <v>47620.66</v>
      </c>
      <c r="K154" s="5" t="str">
        <f t="shared" si="16"/>
        <v>Medium</v>
      </c>
      <c r="L154" s="6" t="s">
        <v>100</v>
      </c>
      <c r="M154">
        <v>38</v>
      </c>
      <c r="N154" s="6" t="str">
        <f t="shared" si="17"/>
        <v>Middle-Aged</v>
      </c>
      <c r="O154" s="6" t="s">
        <v>42</v>
      </c>
      <c r="P154" s="6" t="s">
        <v>26</v>
      </c>
      <c r="Q154" t="s">
        <v>641</v>
      </c>
      <c r="R154" s="6" t="s">
        <v>52</v>
      </c>
      <c r="S154" s="6" t="s">
        <v>29</v>
      </c>
      <c r="T154" s="14">
        <v>3.9399999999999998E-2</v>
      </c>
      <c r="U154">
        <v>3.94</v>
      </c>
      <c r="V154" t="str">
        <f>IF(fin_table[[#This Row],[Interest Rate(%)]]&gt;4,"high","low")</f>
        <v>low</v>
      </c>
      <c r="W154" s="5">
        <v>37678.199999999997</v>
      </c>
      <c r="X154" s="5">
        <f>fin_table[[#This Row],[Interest Rate]]*fin_table[[#This Row],[Loan Amount]]</f>
        <v>1484.5210799999998</v>
      </c>
      <c r="Y154">
        <v>3</v>
      </c>
      <c r="Z154" s="3">
        <v>395</v>
      </c>
      <c r="AA154" s="3" t="str">
        <f t="shared" si="18"/>
        <v>Poor</v>
      </c>
      <c r="AB154" s="3" cm="1">
        <f t="array" ref="AB154">_xlfn.IFS(fin_table[[#This Row],[Transaction Status]]="Failed", 1, fin_table[[#This Row],[Transaction Status]]="Completed",0,fin_table[[#This Row],[Transaction Status]]="Pending",2)</f>
        <v>1</v>
      </c>
      <c r="AC154" s="3" t="str">
        <f>IF(fin_table[[#This Row],[Loan Defaulters]]=1,"Default", "Good")</f>
        <v>Default</v>
      </c>
      <c r="AD154" s="3">
        <f t="shared" si="19"/>
        <v>1</v>
      </c>
      <c r="AE154" s="4">
        <v>5815.22</v>
      </c>
      <c r="AF154" s="4" t="str">
        <f>IF(fin_table[[#This Row],[Monthly Income]]&lt;3000, "Low Income", IF(fin_table[[#This Row],[Monthly Income]]&lt;=5000, "Middle Income", "High Income"))</f>
        <v>High Income</v>
      </c>
      <c r="AG154" t="s">
        <v>45</v>
      </c>
      <c r="AH154" t="s">
        <v>3636</v>
      </c>
      <c r="AI154" t="str">
        <f t="shared" si="20"/>
        <v>High-Risk</v>
      </c>
    </row>
    <row r="155" spans="1:35" x14ac:dyDescent="0.35">
      <c r="A155" t="s">
        <v>642</v>
      </c>
      <c r="B155" t="s">
        <v>643</v>
      </c>
      <c r="C155" t="s">
        <v>644</v>
      </c>
      <c r="D155" s="1">
        <v>44730</v>
      </c>
      <c r="E155" s="1" t="str">
        <f t="shared" si="14"/>
        <v>18</v>
      </c>
      <c r="F155" s="1" t="str">
        <f t="shared" si="15"/>
        <v>Jun</v>
      </c>
      <c r="G155" s="6" t="s">
        <v>23</v>
      </c>
      <c r="H155" s="5">
        <v>1731.76</v>
      </c>
      <c r="I155" s="5" t="str">
        <f>IF(fin_table[[#This Row],[Account Balance]]&lt;20000,"Active", "Not Active")</f>
        <v>Not Active</v>
      </c>
      <c r="J155" s="5">
        <v>39047.980000000003</v>
      </c>
      <c r="K155" s="5" t="str">
        <f t="shared" si="16"/>
        <v>Medium</v>
      </c>
      <c r="L155" s="6" t="s">
        <v>35</v>
      </c>
      <c r="M155">
        <v>25</v>
      </c>
      <c r="N155" s="6" t="str">
        <f t="shared" si="17"/>
        <v>Young Adults</v>
      </c>
      <c r="O155" s="6" t="s">
        <v>42</v>
      </c>
      <c r="P155" s="6" t="s">
        <v>36</v>
      </c>
      <c r="Q155" t="s">
        <v>645</v>
      </c>
      <c r="R155" s="6" t="s">
        <v>52</v>
      </c>
      <c r="S155" s="6" t="s">
        <v>62</v>
      </c>
      <c r="T155" s="14">
        <v>1.12E-2</v>
      </c>
      <c r="U155">
        <v>1.1200000000000001</v>
      </c>
      <c r="V155" t="str">
        <f>IF(fin_table[[#This Row],[Interest Rate(%)]]&gt;4,"high","low")</f>
        <v>low</v>
      </c>
      <c r="W155" s="5">
        <v>26681.654999999999</v>
      </c>
      <c r="X155" s="5">
        <f>fin_table[[#This Row],[Interest Rate]]*fin_table[[#This Row],[Loan Amount]]</f>
        <v>298.83453599999996</v>
      </c>
      <c r="Y155">
        <v>13</v>
      </c>
      <c r="Z155" s="3">
        <v>789</v>
      </c>
      <c r="AA155" s="3" t="str">
        <f t="shared" si="18"/>
        <v>Very Good</v>
      </c>
      <c r="AB155" s="3" cm="1">
        <f t="array" ref="AB155">_xlfn.IFS(fin_table[[#This Row],[Transaction Status]]="Failed", 1, fin_table[[#This Row],[Transaction Status]]="Completed",0,fin_table[[#This Row],[Transaction Status]]="Pending",2)</f>
        <v>2</v>
      </c>
      <c r="AC155" s="3" t="str">
        <f>IF(fin_table[[#This Row],[Loan Defaulters]]=1,"Default", "Good")</f>
        <v>Good</v>
      </c>
      <c r="AD155" s="3">
        <f t="shared" si="19"/>
        <v>4</v>
      </c>
      <c r="AE155" s="4">
        <v>4749.1099999999997</v>
      </c>
      <c r="AF155" s="4" t="str">
        <f>IF(fin_table[[#This Row],[Monthly Income]]&lt;3000, "Low Income", IF(fin_table[[#This Row],[Monthly Income]]&lt;=5000, "Middle Income", "High Income"))</f>
        <v>Middle Income</v>
      </c>
      <c r="AG155" t="s">
        <v>63</v>
      </c>
      <c r="AH155" t="s">
        <v>3635</v>
      </c>
      <c r="AI155" t="str">
        <f t="shared" si="20"/>
        <v>Low-Risk</v>
      </c>
    </row>
    <row r="156" spans="1:35" x14ac:dyDescent="0.35">
      <c r="A156" t="s">
        <v>646</v>
      </c>
      <c r="B156" t="s">
        <v>647</v>
      </c>
      <c r="C156" t="s">
        <v>648</v>
      </c>
      <c r="D156" s="1">
        <v>44654</v>
      </c>
      <c r="E156" s="1" t="str">
        <f t="shared" si="14"/>
        <v>03</v>
      </c>
      <c r="F156" s="1" t="str">
        <f t="shared" si="15"/>
        <v>Apr</v>
      </c>
      <c r="G156" s="6" t="s">
        <v>56</v>
      </c>
      <c r="H156" s="5">
        <v>1788.76</v>
      </c>
      <c r="I156" s="5" t="str">
        <f>IF(fin_table[[#This Row],[Account Balance]]&lt;20000,"Active", "Not Active")</f>
        <v>Not Active</v>
      </c>
      <c r="J156" s="5">
        <v>30955.49</v>
      </c>
      <c r="K156" s="5" t="str">
        <f t="shared" si="16"/>
        <v>Medium</v>
      </c>
      <c r="L156" s="6" t="s">
        <v>100</v>
      </c>
      <c r="M156">
        <v>38</v>
      </c>
      <c r="N156" s="6" t="str">
        <f t="shared" si="17"/>
        <v>Middle-Aged</v>
      </c>
      <c r="O156" s="6" t="s">
        <v>25</v>
      </c>
      <c r="P156" s="6" t="s">
        <v>36</v>
      </c>
      <c r="Q156" t="s">
        <v>649</v>
      </c>
      <c r="R156" s="6" t="s">
        <v>52</v>
      </c>
      <c r="S156" s="6" t="s">
        <v>44</v>
      </c>
      <c r="T156" s="14">
        <v>3.4700000000000002E-2</v>
      </c>
      <c r="U156">
        <v>3.47</v>
      </c>
      <c r="V156" t="str">
        <f>IF(fin_table[[#This Row],[Interest Rate(%)]]&gt;4,"high","low")</f>
        <v>low</v>
      </c>
      <c r="W156" s="5">
        <v>26681.654999999999</v>
      </c>
      <c r="X156" s="5">
        <f>fin_table[[#This Row],[Interest Rate]]*fin_table[[#This Row],[Loan Amount]]</f>
        <v>925.85342849999995</v>
      </c>
      <c r="Y156">
        <v>8</v>
      </c>
      <c r="Z156" s="3">
        <v>517</v>
      </c>
      <c r="AA156" s="3" t="str">
        <f t="shared" si="18"/>
        <v>Poor</v>
      </c>
      <c r="AB156" s="3" cm="1">
        <f t="array" ref="AB156">_xlfn.IFS(fin_table[[#This Row],[Transaction Status]]="Failed", 1, fin_table[[#This Row],[Transaction Status]]="Completed",0,fin_table[[#This Row],[Transaction Status]]="Pending",2)</f>
        <v>0</v>
      </c>
      <c r="AC156" s="3" t="str">
        <f>IF(fin_table[[#This Row],[Loan Defaulters]]=1,"Default", "Good")</f>
        <v>Good</v>
      </c>
      <c r="AD156" s="3">
        <f t="shared" si="19"/>
        <v>1</v>
      </c>
      <c r="AE156" s="4">
        <v>5454.7</v>
      </c>
      <c r="AF156" s="4" t="str">
        <f>IF(fin_table[[#This Row],[Monthly Income]]&lt;3000, "Low Income", IF(fin_table[[#This Row],[Monthly Income]]&lt;=5000, "Middle Income", "High Income"))</f>
        <v>High Income</v>
      </c>
      <c r="AG156" t="s">
        <v>30</v>
      </c>
      <c r="AH156" t="s">
        <v>3635</v>
      </c>
      <c r="AI156" t="str">
        <f t="shared" si="20"/>
        <v>Low-Risk</v>
      </c>
    </row>
    <row r="157" spans="1:35" x14ac:dyDescent="0.35">
      <c r="A157" t="s">
        <v>650</v>
      </c>
      <c r="B157" t="s">
        <v>651</v>
      </c>
      <c r="C157" t="s">
        <v>652</v>
      </c>
      <c r="D157" s="1">
        <v>45082</v>
      </c>
      <c r="E157" s="1" t="str">
        <f t="shared" si="14"/>
        <v>05</v>
      </c>
      <c r="F157" s="1" t="str">
        <f t="shared" si="15"/>
        <v>Jun</v>
      </c>
      <c r="G157" s="6" t="s">
        <v>34</v>
      </c>
      <c r="H157" s="5">
        <v>9486.27</v>
      </c>
      <c r="I157" s="5" t="str">
        <f>IF(fin_table[[#This Row],[Account Balance]]&lt;20000,"Active", "Not Active")</f>
        <v>Not Active</v>
      </c>
      <c r="J157" s="5">
        <v>43008.14</v>
      </c>
      <c r="K157" s="5" t="str">
        <f t="shared" si="16"/>
        <v>Medium</v>
      </c>
      <c r="L157" s="6" t="s">
        <v>35</v>
      </c>
      <c r="M157">
        <v>28</v>
      </c>
      <c r="N157" s="6" t="str">
        <f t="shared" si="17"/>
        <v>Adults</v>
      </c>
      <c r="O157" s="6" t="s">
        <v>25</v>
      </c>
      <c r="P157" s="6" t="s">
        <v>26</v>
      </c>
      <c r="Q157" t="s">
        <v>590</v>
      </c>
      <c r="R157" s="6" t="s">
        <v>52</v>
      </c>
      <c r="S157" s="6" t="s">
        <v>44</v>
      </c>
      <c r="T157" s="14">
        <v>4.0399999999999998E-2</v>
      </c>
      <c r="U157">
        <v>4.04</v>
      </c>
      <c r="V157" t="str">
        <f>IF(fin_table[[#This Row],[Interest Rate(%)]]&gt;4,"high","low")</f>
        <v>high</v>
      </c>
      <c r="W157" s="5">
        <v>38752.76</v>
      </c>
      <c r="X157" s="5">
        <f>fin_table[[#This Row],[Interest Rate]]*fin_table[[#This Row],[Loan Amount]]</f>
        <v>1565.611504</v>
      </c>
      <c r="Y157">
        <v>13</v>
      </c>
      <c r="Z157" s="3">
        <v>826</v>
      </c>
      <c r="AA157" s="3" t="str">
        <f t="shared" si="18"/>
        <v>Excellent</v>
      </c>
      <c r="AB157" s="3" cm="1">
        <f t="array" ref="AB157">_xlfn.IFS(fin_table[[#This Row],[Transaction Status]]="Failed", 1, fin_table[[#This Row],[Transaction Status]]="Completed",0,fin_table[[#This Row],[Transaction Status]]="Pending",2)</f>
        <v>0</v>
      </c>
      <c r="AC157" s="3" t="str">
        <f>IF(fin_table[[#This Row],[Loan Defaulters]]=1,"Default", "Good")</f>
        <v>Good</v>
      </c>
      <c r="AD157" s="3">
        <f t="shared" si="19"/>
        <v>5</v>
      </c>
      <c r="AE157" s="4">
        <v>3232.8</v>
      </c>
      <c r="AF157" s="4" t="str">
        <f>IF(fin_table[[#This Row],[Monthly Income]]&lt;3000, "Low Income", IF(fin_table[[#This Row],[Monthly Income]]&lt;=5000, "Middle Income", "High Income"))</f>
        <v>Middle Income</v>
      </c>
      <c r="AG157" t="s">
        <v>30</v>
      </c>
      <c r="AH157" t="s">
        <v>3636</v>
      </c>
      <c r="AI157" t="str">
        <f t="shared" si="20"/>
        <v>Low-Risk</v>
      </c>
    </row>
    <row r="158" spans="1:35" x14ac:dyDescent="0.35">
      <c r="A158" t="s">
        <v>653</v>
      </c>
      <c r="B158" t="s">
        <v>654</v>
      </c>
      <c r="C158" t="s">
        <v>655</v>
      </c>
      <c r="D158" s="1">
        <v>44842</v>
      </c>
      <c r="E158" s="1" t="str">
        <f t="shared" si="14"/>
        <v>08</v>
      </c>
      <c r="F158" s="1" t="str">
        <f t="shared" si="15"/>
        <v>Oct</v>
      </c>
      <c r="G158" s="6" t="s">
        <v>71</v>
      </c>
      <c r="H158" s="5">
        <v>4507.9399999999996</v>
      </c>
      <c r="I158" s="5" t="str">
        <f>IF(fin_table[[#This Row],[Account Balance]]&lt;20000,"Active", "Not Active")</f>
        <v>Not Active</v>
      </c>
      <c r="J158" s="5">
        <v>33989.08</v>
      </c>
      <c r="K158" s="5" t="str">
        <f t="shared" si="16"/>
        <v>Medium</v>
      </c>
      <c r="L158" s="6" t="s">
        <v>100</v>
      </c>
      <c r="M158">
        <v>55</v>
      </c>
      <c r="N158" s="6" t="str">
        <f t="shared" si="17"/>
        <v>Older Adults</v>
      </c>
      <c r="O158" s="6" t="s">
        <v>42</v>
      </c>
      <c r="P158" s="6" t="s">
        <v>36</v>
      </c>
      <c r="Q158" t="s">
        <v>656</v>
      </c>
      <c r="R158" s="6" t="s">
        <v>38</v>
      </c>
      <c r="S158" s="6" t="s">
        <v>29</v>
      </c>
      <c r="T158" s="14">
        <v>2.92E-2</v>
      </c>
      <c r="U158">
        <v>2.92</v>
      </c>
      <c r="V158" t="str">
        <f>IF(fin_table[[#This Row],[Interest Rate(%)]]&gt;4,"high","low")</f>
        <v>low</v>
      </c>
      <c r="W158" s="5">
        <v>9465.2999999999993</v>
      </c>
      <c r="X158" s="5">
        <f>fin_table[[#This Row],[Interest Rate]]*fin_table[[#This Row],[Loan Amount]]</f>
        <v>276.38675999999998</v>
      </c>
      <c r="Y158">
        <v>13</v>
      </c>
      <c r="Z158" s="3">
        <v>572</v>
      </c>
      <c r="AA158" s="3" t="str">
        <f t="shared" si="18"/>
        <v>Poor</v>
      </c>
      <c r="AB158" s="3" cm="1">
        <f t="array" ref="AB158">_xlfn.IFS(fin_table[[#This Row],[Transaction Status]]="Failed", 1, fin_table[[#This Row],[Transaction Status]]="Completed",0,fin_table[[#This Row],[Transaction Status]]="Pending",2)</f>
        <v>1</v>
      </c>
      <c r="AC158" s="3" t="str">
        <f>IF(fin_table[[#This Row],[Loan Defaulters]]=1,"Default", "Good")</f>
        <v>Default</v>
      </c>
      <c r="AD158" s="3">
        <f t="shared" si="19"/>
        <v>1</v>
      </c>
      <c r="AE158" s="4">
        <v>6509.14</v>
      </c>
      <c r="AF158" s="4" t="str">
        <f>IF(fin_table[[#This Row],[Monthly Income]]&lt;3000, "Low Income", IF(fin_table[[#This Row],[Monthly Income]]&lt;=5000, "Middle Income", "High Income"))</f>
        <v>High Income</v>
      </c>
      <c r="AG158" t="s">
        <v>45</v>
      </c>
      <c r="AH158" t="s">
        <v>3636</v>
      </c>
      <c r="AI158" t="str">
        <f t="shared" si="20"/>
        <v>Low-Risk</v>
      </c>
    </row>
    <row r="159" spans="1:35" x14ac:dyDescent="0.35">
      <c r="A159" t="s">
        <v>657</v>
      </c>
      <c r="B159" t="s">
        <v>658</v>
      </c>
      <c r="C159" t="s">
        <v>659</v>
      </c>
      <c r="D159" s="1">
        <v>44882</v>
      </c>
      <c r="E159" s="1" t="str">
        <f t="shared" si="14"/>
        <v>17</v>
      </c>
      <c r="F159" s="1" t="str">
        <f t="shared" si="15"/>
        <v>Nov</v>
      </c>
      <c r="G159" s="6" t="s">
        <v>34</v>
      </c>
      <c r="H159" s="5">
        <v>7909.14</v>
      </c>
      <c r="I159" s="5" t="str">
        <f>IF(fin_table[[#This Row],[Account Balance]]&lt;20000,"Active", "Not Active")</f>
        <v>Not Active</v>
      </c>
      <c r="J159" s="5">
        <v>20997.83</v>
      </c>
      <c r="K159" s="5" t="str">
        <f t="shared" si="16"/>
        <v>Medium</v>
      </c>
      <c r="L159" s="6" t="s">
        <v>24</v>
      </c>
      <c r="M159">
        <v>25</v>
      </c>
      <c r="N159" s="6" t="str">
        <f t="shared" si="17"/>
        <v>Young Adults</v>
      </c>
      <c r="O159" s="6" t="s">
        <v>42</v>
      </c>
      <c r="P159" s="6" t="s">
        <v>36</v>
      </c>
      <c r="Q159" t="s">
        <v>660</v>
      </c>
      <c r="R159" s="6" t="s">
        <v>52</v>
      </c>
      <c r="S159" s="6" t="s">
        <v>62</v>
      </c>
      <c r="T159" s="14">
        <v>4.7300000000000002E-2</v>
      </c>
      <c r="U159">
        <v>4.7300000000000004</v>
      </c>
      <c r="V159" t="str">
        <f>IF(fin_table[[#This Row],[Interest Rate(%)]]&gt;4,"high","low")</f>
        <v>high</v>
      </c>
      <c r="W159" s="5">
        <v>42757.21</v>
      </c>
      <c r="X159" s="5">
        <f>fin_table[[#This Row],[Interest Rate]]*fin_table[[#This Row],[Loan Amount]]</f>
        <v>2022.416033</v>
      </c>
      <c r="Y159">
        <v>2</v>
      </c>
      <c r="Z159" s="3">
        <v>518</v>
      </c>
      <c r="AA159" s="3" t="str">
        <f t="shared" si="18"/>
        <v>Poor</v>
      </c>
      <c r="AB159" s="3" cm="1">
        <f t="array" ref="AB159">_xlfn.IFS(fin_table[[#This Row],[Transaction Status]]="Failed", 1, fin_table[[#This Row],[Transaction Status]]="Completed",0,fin_table[[#This Row],[Transaction Status]]="Pending",2)</f>
        <v>2</v>
      </c>
      <c r="AC159" s="3" t="str">
        <f>IF(fin_table[[#This Row],[Loan Defaulters]]=1,"Default", "Good")</f>
        <v>Good</v>
      </c>
      <c r="AD159" s="3">
        <f t="shared" si="19"/>
        <v>1</v>
      </c>
      <c r="AE159" s="4">
        <v>2475.41</v>
      </c>
      <c r="AF159" s="4" t="str">
        <f>IF(fin_table[[#This Row],[Monthly Income]]&lt;3000, "Low Income", IF(fin_table[[#This Row],[Monthly Income]]&lt;=5000, "Middle Income", "High Income"))</f>
        <v>Low Income</v>
      </c>
      <c r="AG159" t="s">
        <v>45</v>
      </c>
      <c r="AH159" t="s">
        <v>3636</v>
      </c>
      <c r="AI159" t="str">
        <f t="shared" si="20"/>
        <v>High-Risk</v>
      </c>
    </row>
    <row r="160" spans="1:35" x14ac:dyDescent="0.35">
      <c r="A160" t="s">
        <v>661</v>
      </c>
      <c r="B160" t="s">
        <v>662</v>
      </c>
      <c r="C160" t="s">
        <v>663</v>
      </c>
      <c r="D160" s="1">
        <v>44844</v>
      </c>
      <c r="E160" s="1" t="str">
        <f t="shared" si="14"/>
        <v>10</v>
      </c>
      <c r="F160" s="1" t="str">
        <f t="shared" si="15"/>
        <v>Oct</v>
      </c>
      <c r="G160" s="6" t="s">
        <v>23</v>
      </c>
      <c r="H160" s="5">
        <v>6432.1</v>
      </c>
      <c r="I160" s="5" t="str">
        <f>IF(fin_table[[#This Row],[Account Balance]]&lt;20000,"Active", "Not Active")</f>
        <v>Not Active</v>
      </c>
      <c r="J160" s="5">
        <v>44395.37</v>
      </c>
      <c r="K160" s="5" t="str">
        <f t="shared" si="16"/>
        <v>Medium</v>
      </c>
      <c r="L160" s="6" t="s">
        <v>24</v>
      </c>
      <c r="M160">
        <v>59</v>
      </c>
      <c r="N160" s="6" t="str">
        <f t="shared" si="17"/>
        <v>Older Adults</v>
      </c>
      <c r="O160" s="6" t="s">
        <v>25</v>
      </c>
      <c r="P160" s="6" t="s">
        <v>26</v>
      </c>
      <c r="Q160" t="s">
        <v>664</v>
      </c>
      <c r="R160" s="6" t="s">
        <v>38</v>
      </c>
      <c r="S160" s="6" t="s">
        <v>62</v>
      </c>
      <c r="T160" s="14">
        <v>3.8300000000000001E-2</v>
      </c>
      <c r="U160">
        <v>3.83</v>
      </c>
      <c r="V160" t="str">
        <f>IF(fin_table[[#This Row],[Interest Rate(%)]]&gt;4,"high","low")</f>
        <v>low</v>
      </c>
      <c r="W160" s="5">
        <v>26681.654999999999</v>
      </c>
      <c r="X160" s="5">
        <f>fin_table[[#This Row],[Interest Rate]]*fin_table[[#This Row],[Loan Amount]]</f>
        <v>1021.9073865</v>
      </c>
      <c r="Y160">
        <v>2</v>
      </c>
      <c r="Z160" s="3">
        <v>631</v>
      </c>
      <c r="AA160" s="3" t="str">
        <f t="shared" si="18"/>
        <v>Fair</v>
      </c>
      <c r="AB160" s="3" cm="1">
        <f t="array" ref="AB160">_xlfn.IFS(fin_table[[#This Row],[Transaction Status]]="Failed", 1, fin_table[[#This Row],[Transaction Status]]="Completed",0,fin_table[[#This Row],[Transaction Status]]="Pending",2)</f>
        <v>2</v>
      </c>
      <c r="AC160" s="3" t="str">
        <f>IF(fin_table[[#This Row],[Loan Defaulters]]=1,"Default", "Good")</f>
        <v>Good</v>
      </c>
      <c r="AD160" s="3">
        <f t="shared" si="19"/>
        <v>2</v>
      </c>
      <c r="AE160" s="4">
        <v>4423.38</v>
      </c>
      <c r="AF160" s="4" t="str">
        <f>IF(fin_table[[#This Row],[Monthly Income]]&lt;3000, "Low Income", IF(fin_table[[#This Row],[Monthly Income]]&lt;=5000, "Middle Income", "High Income"))</f>
        <v>Middle Income</v>
      </c>
      <c r="AG160" t="s">
        <v>30</v>
      </c>
      <c r="AH160" t="s">
        <v>3635</v>
      </c>
      <c r="AI160" t="str">
        <f t="shared" si="20"/>
        <v>Low-Risk</v>
      </c>
    </row>
    <row r="161" spans="1:35" x14ac:dyDescent="0.35">
      <c r="A161" t="s">
        <v>665</v>
      </c>
      <c r="B161" t="s">
        <v>666</v>
      </c>
      <c r="C161" t="s">
        <v>667</v>
      </c>
      <c r="D161" s="1">
        <v>44806</v>
      </c>
      <c r="E161" s="1" t="str">
        <f t="shared" si="14"/>
        <v>02</v>
      </c>
      <c r="F161" s="1" t="str">
        <f t="shared" si="15"/>
        <v>Sep</v>
      </c>
      <c r="G161" s="6" t="s">
        <v>34</v>
      </c>
      <c r="H161" s="5">
        <v>6796.62</v>
      </c>
      <c r="I161" s="5" t="str">
        <f>IF(fin_table[[#This Row],[Account Balance]]&lt;20000,"Active", "Not Active")</f>
        <v>Active</v>
      </c>
      <c r="J161" s="5">
        <v>11873.12</v>
      </c>
      <c r="K161" s="5" t="str">
        <f t="shared" si="16"/>
        <v>Medium</v>
      </c>
      <c r="L161" s="6" t="s">
        <v>125</v>
      </c>
      <c r="M161">
        <v>41</v>
      </c>
      <c r="N161" s="6" t="str">
        <f t="shared" si="17"/>
        <v>Middle-Aged</v>
      </c>
      <c r="O161" s="6" t="s">
        <v>25</v>
      </c>
      <c r="P161" s="6" t="s">
        <v>36</v>
      </c>
      <c r="Q161" t="s">
        <v>668</v>
      </c>
      <c r="R161" s="6" t="s">
        <v>28</v>
      </c>
      <c r="S161" s="6" t="s">
        <v>44</v>
      </c>
      <c r="T161" s="14">
        <v>3.9899999999999998E-2</v>
      </c>
      <c r="U161">
        <v>3.99</v>
      </c>
      <c r="V161" t="str">
        <f>IF(fin_table[[#This Row],[Interest Rate(%)]]&gt;4,"high","low")</f>
        <v>low</v>
      </c>
      <c r="W161" s="5">
        <v>19510.04</v>
      </c>
      <c r="X161" s="5">
        <f>fin_table[[#This Row],[Interest Rate]]*fin_table[[#This Row],[Loan Amount]]</f>
        <v>778.45059600000002</v>
      </c>
      <c r="Y161">
        <v>13</v>
      </c>
      <c r="Z161" s="3">
        <v>752</v>
      </c>
      <c r="AA161" s="3" t="str">
        <f t="shared" si="18"/>
        <v>Very Good</v>
      </c>
      <c r="AB161" s="3" cm="1">
        <f t="array" ref="AB161">_xlfn.IFS(fin_table[[#This Row],[Transaction Status]]="Failed", 1, fin_table[[#This Row],[Transaction Status]]="Completed",0,fin_table[[#This Row],[Transaction Status]]="Pending",2)</f>
        <v>0</v>
      </c>
      <c r="AC161" s="3" t="str">
        <f>IF(fin_table[[#This Row],[Loan Defaulters]]=1,"Default", "Good")</f>
        <v>Good</v>
      </c>
      <c r="AD161" s="3">
        <f t="shared" si="19"/>
        <v>4</v>
      </c>
      <c r="AE161" s="4">
        <v>11708.02</v>
      </c>
      <c r="AF161" s="4" t="str">
        <f>IF(fin_table[[#This Row],[Monthly Income]]&lt;3000, "Low Income", IF(fin_table[[#This Row],[Monthly Income]]&lt;=5000, "Middle Income", "High Income"))</f>
        <v>High Income</v>
      </c>
      <c r="AG161" t="s">
        <v>30</v>
      </c>
      <c r="AH161" t="s">
        <v>3636</v>
      </c>
      <c r="AI161" t="str">
        <f t="shared" si="20"/>
        <v>Low-Risk</v>
      </c>
    </row>
    <row r="162" spans="1:35" x14ac:dyDescent="0.35">
      <c r="A162" t="s">
        <v>669</v>
      </c>
      <c r="B162" t="s">
        <v>670</v>
      </c>
      <c r="C162" t="s">
        <v>671</v>
      </c>
      <c r="D162" s="1">
        <v>44645</v>
      </c>
      <c r="E162" s="1" t="str">
        <f t="shared" si="14"/>
        <v>25</v>
      </c>
      <c r="F162" s="1" t="str">
        <f t="shared" si="15"/>
        <v>Mar</v>
      </c>
      <c r="G162" s="6" t="s">
        <v>34</v>
      </c>
      <c r="H162" s="5">
        <v>1403.77</v>
      </c>
      <c r="I162" s="5" t="str">
        <f>IF(fin_table[[#This Row],[Account Balance]]&lt;20000,"Active", "Not Active")</f>
        <v>Not Active</v>
      </c>
      <c r="J162" s="5">
        <v>36017.42</v>
      </c>
      <c r="K162" s="5" t="str">
        <f t="shared" si="16"/>
        <v>Medium</v>
      </c>
      <c r="L162" s="6" t="s">
        <v>100</v>
      </c>
      <c r="M162">
        <v>52</v>
      </c>
      <c r="N162" s="6" t="str">
        <f t="shared" si="17"/>
        <v>Older Adults</v>
      </c>
      <c r="O162" s="6" t="s">
        <v>25</v>
      </c>
      <c r="P162" s="6" t="s">
        <v>50</v>
      </c>
      <c r="Q162" t="s">
        <v>355</v>
      </c>
      <c r="R162" s="6" t="s">
        <v>28</v>
      </c>
      <c r="S162" s="6" t="s">
        <v>44</v>
      </c>
      <c r="T162" s="14">
        <v>1.7899999999999999E-2</v>
      </c>
      <c r="U162">
        <v>1.79</v>
      </c>
      <c r="V162" t="str">
        <f>IF(fin_table[[#This Row],[Interest Rate(%)]]&gt;4,"high","low")</f>
        <v>low</v>
      </c>
      <c r="W162" s="5">
        <v>46676.42</v>
      </c>
      <c r="X162" s="5">
        <f>fin_table[[#This Row],[Interest Rate]]*fin_table[[#This Row],[Loan Amount]]</f>
        <v>835.5079179999999</v>
      </c>
      <c r="Y162">
        <v>9</v>
      </c>
      <c r="Z162" s="3">
        <v>451</v>
      </c>
      <c r="AA162" s="3" t="str">
        <f t="shared" si="18"/>
        <v>Poor</v>
      </c>
      <c r="AB162" s="3" cm="1">
        <f t="array" ref="AB162">_xlfn.IFS(fin_table[[#This Row],[Transaction Status]]="Failed", 1, fin_table[[#This Row],[Transaction Status]]="Completed",0,fin_table[[#This Row],[Transaction Status]]="Pending",2)</f>
        <v>0</v>
      </c>
      <c r="AC162" s="3" t="str">
        <f>IF(fin_table[[#This Row],[Loan Defaulters]]=1,"Default", "Good")</f>
        <v>Good</v>
      </c>
      <c r="AD162" s="3">
        <f t="shared" si="19"/>
        <v>1</v>
      </c>
      <c r="AE162" s="4">
        <v>6231.1</v>
      </c>
      <c r="AF162" s="4" t="str">
        <f>IF(fin_table[[#This Row],[Monthly Income]]&lt;3000, "Low Income", IF(fin_table[[#This Row],[Monthly Income]]&lt;=5000, "Middle Income", "High Income"))</f>
        <v>High Income</v>
      </c>
      <c r="AG162" t="s">
        <v>30</v>
      </c>
      <c r="AH162" t="s">
        <v>3636</v>
      </c>
      <c r="AI162" t="str">
        <f t="shared" si="20"/>
        <v>High-Risk</v>
      </c>
    </row>
    <row r="163" spans="1:35" x14ac:dyDescent="0.35">
      <c r="A163" t="s">
        <v>672</v>
      </c>
      <c r="B163" t="s">
        <v>673</v>
      </c>
      <c r="C163" t="s">
        <v>674</v>
      </c>
      <c r="D163" s="1">
        <v>44762</v>
      </c>
      <c r="E163" s="1" t="str">
        <f t="shared" si="14"/>
        <v>20</v>
      </c>
      <c r="F163" s="1" t="str">
        <f t="shared" si="15"/>
        <v>Jul</v>
      </c>
      <c r="G163" s="6" t="s">
        <v>71</v>
      </c>
      <c r="H163" s="5">
        <v>2418.4299999999998</v>
      </c>
      <c r="I163" s="5" t="str">
        <f>IF(fin_table[[#This Row],[Account Balance]]&lt;20000,"Active", "Not Active")</f>
        <v>Not Active</v>
      </c>
      <c r="J163" s="5">
        <v>44196.61</v>
      </c>
      <c r="K163" s="5" t="str">
        <f t="shared" si="16"/>
        <v>Medium</v>
      </c>
      <c r="L163" s="6" t="s">
        <v>49</v>
      </c>
      <c r="M163">
        <v>31</v>
      </c>
      <c r="N163" s="6" t="str">
        <f t="shared" si="17"/>
        <v>Adults</v>
      </c>
      <c r="O163" s="6" t="s">
        <v>42</v>
      </c>
      <c r="P163" s="6" t="s">
        <v>36</v>
      </c>
      <c r="Q163" t="s">
        <v>675</v>
      </c>
      <c r="R163" s="6" t="s">
        <v>38</v>
      </c>
      <c r="S163" s="6" t="s">
        <v>44</v>
      </c>
      <c r="T163" s="14">
        <v>4.1099999999999998E-2</v>
      </c>
      <c r="U163">
        <v>4.1100000000000003</v>
      </c>
      <c r="V163" t="str">
        <f>IF(fin_table[[#This Row],[Interest Rate(%)]]&gt;4,"high","low")</f>
        <v>high</v>
      </c>
      <c r="W163" s="5">
        <v>40685.370000000003</v>
      </c>
      <c r="X163" s="5">
        <f>fin_table[[#This Row],[Interest Rate]]*fin_table[[#This Row],[Loan Amount]]</f>
        <v>1672.168707</v>
      </c>
      <c r="Y163">
        <v>20</v>
      </c>
      <c r="Z163" s="3">
        <v>646</v>
      </c>
      <c r="AA163" s="3" t="str">
        <f t="shared" si="18"/>
        <v>Fair</v>
      </c>
      <c r="AB163" s="3" cm="1">
        <f t="array" ref="AB163">_xlfn.IFS(fin_table[[#This Row],[Transaction Status]]="Failed", 1, fin_table[[#This Row],[Transaction Status]]="Completed",0,fin_table[[#This Row],[Transaction Status]]="Pending",2)</f>
        <v>0</v>
      </c>
      <c r="AC163" s="3" t="str">
        <f>IF(fin_table[[#This Row],[Loan Defaulters]]=1,"Default", "Good")</f>
        <v>Good</v>
      </c>
      <c r="AD163" s="3">
        <f t="shared" si="19"/>
        <v>2</v>
      </c>
      <c r="AE163" s="4">
        <v>10687.08</v>
      </c>
      <c r="AF163" s="4" t="str">
        <f>IF(fin_table[[#This Row],[Monthly Income]]&lt;3000, "Low Income", IF(fin_table[[#This Row],[Monthly Income]]&lt;=5000, "Middle Income", "High Income"))</f>
        <v>High Income</v>
      </c>
      <c r="AG163" t="s">
        <v>45</v>
      </c>
      <c r="AH163" t="s">
        <v>3636</v>
      </c>
      <c r="AI163" t="str">
        <f t="shared" si="20"/>
        <v>Low-Risk</v>
      </c>
    </row>
    <row r="164" spans="1:35" x14ac:dyDescent="0.35">
      <c r="A164" t="s">
        <v>676</v>
      </c>
      <c r="B164" t="s">
        <v>677</v>
      </c>
      <c r="C164" t="s">
        <v>678</v>
      </c>
      <c r="D164" s="1">
        <v>45055</v>
      </c>
      <c r="E164" s="1" t="str">
        <f t="shared" si="14"/>
        <v>09</v>
      </c>
      <c r="F164" s="1" t="str">
        <f t="shared" si="15"/>
        <v>May</v>
      </c>
      <c r="G164" s="6" t="s">
        <v>23</v>
      </c>
      <c r="H164" s="5">
        <v>7888.83</v>
      </c>
      <c r="I164" s="5" t="str">
        <f>IF(fin_table[[#This Row],[Account Balance]]&lt;20000,"Active", "Not Active")</f>
        <v>Not Active</v>
      </c>
      <c r="J164" s="5">
        <v>36834.51</v>
      </c>
      <c r="K164" s="5" t="str">
        <f t="shared" si="16"/>
        <v>Medium</v>
      </c>
      <c r="L164" s="6" t="s">
        <v>125</v>
      </c>
      <c r="M164">
        <v>31</v>
      </c>
      <c r="N164" s="6" t="str">
        <f t="shared" si="17"/>
        <v>Adults</v>
      </c>
      <c r="O164" s="6" t="s">
        <v>42</v>
      </c>
      <c r="P164" s="6" t="s">
        <v>50</v>
      </c>
      <c r="Q164" t="s">
        <v>316</v>
      </c>
      <c r="R164" s="6" t="s">
        <v>28</v>
      </c>
      <c r="S164" s="6" t="s">
        <v>29</v>
      </c>
      <c r="T164" s="14">
        <v>4.3299999999999998E-2</v>
      </c>
      <c r="U164">
        <v>4.33</v>
      </c>
      <c r="V164" t="str">
        <f>IF(fin_table[[#This Row],[Interest Rate(%)]]&gt;4,"high","low")</f>
        <v>high</v>
      </c>
      <c r="W164" s="5">
        <v>46509.599999999999</v>
      </c>
      <c r="X164" s="5">
        <f>fin_table[[#This Row],[Interest Rate]]*fin_table[[#This Row],[Loan Amount]]</f>
        <v>2013.8656799999999</v>
      </c>
      <c r="Y164">
        <v>13</v>
      </c>
      <c r="Z164" s="3">
        <v>713</v>
      </c>
      <c r="AA164" s="3" t="str">
        <f t="shared" si="18"/>
        <v>Good</v>
      </c>
      <c r="AB164" s="3" cm="1">
        <f t="array" ref="AB164">_xlfn.IFS(fin_table[[#This Row],[Transaction Status]]="Failed", 1, fin_table[[#This Row],[Transaction Status]]="Completed",0,fin_table[[#This Row],[Transaction Status]]="Pending",2)</f>
        <v>1</v>
      </c>
      <c r="AC164" s="3" t="str">
        <f>IF(fin_table[[#This Row],[Loan Defaulters]]=1,"Default", "Good")</f>
        <v>Default</v>
      </c>
      <c r="AD164" s="3">
        <f t="shared" si="19"/>
        <v>3</v>
      </c>
      <c r="AE164" s="4">
        <v>11319.49</v>
      </c>
      <c r="AF164" s="4" t="str">
        <f>IF(fin_table[[#This Row],[Monthly Income]]&lt;3000, "Low Income", IF(fin_table[[#This Row],[Monthly Income]]&lt;=5000, "Middle Income", "High Income"))</f>
        <v>High Income</v>
      </c>
      <c r="AG164" t="s">
        <v>30</v>
      </c>
      <c r="AH164" t="s">
        <v>3636</v>
      </c>
      <c r="AI164" t="str">
        <f t="shared" si="20"/>
        <v>Low-Risk</v>
      </c>
    </row>
    <row r="165" spans="1:35" x14ac:dyDescent="0.35">
      <c r="A165" t="s">
        <v>679</v>
      </c>
      <c r="B165" t="s">
        <v>680</v>
      </c>
      <c r="C165" t="s">
        <v>681</v>
      </c>
      <c r="D165" s="1">
        <v>44909</v>
      </c>
      <c r="E165" s="1" t="str">
        <f t="shared" si="14"/>
        <v>14</v>
      </c>
      <c r="F165" s="1" t="str">
        <f t="shared" si="15"/>
        <v>Dec</v>
      </c>
      <c r="G165" s="6" t="s">
        <v>56</v>
      </c>
      <c r="H165" s="5">
        <v>9710.59</v>
      </c>
      <c r="I165" s="5" t="str">
        <f>IF(fin_table[[#This Row],[Account Balance]]&lt;20000,"Active", "Not Active")</f>
        <v>Not Active</v>
      </c>
      <c r="J165" s="5">
        <v>35166.5</v>
      </c>
      <c r="K165" s="5" t="str">
        <f t="shared" si="16"/>
        <v>Medium</v>
      </c>
      <c r="L165" s="6" t="s">
        <v>24</v>
      </c>
      <c r="M165">
        <v>27</v>
      </c>
      <c r="N165" s="6" t="str">
        <f t="shared" si="17"/>
        <v>Adults</v>
      </c>
      <c r="O165" s="6" t="s">
        <v>25</v>
      </c>
      <c r="P165" s="6" t="s">
        <v>26</v>
      </c>
      <c r="Q165" t="s">
        <v>682</v>
      </c>
      <c r="R165" s="6" t="s">
        <v>28</v>
      </c>
      <c r="S165" s="6" t="s">
        <v>62</v>
      </c>
      <c r="T165" s="14">
        <v>2.4500000000000001E-2</v>
      </c>
      <c r="U165">
        <v>2.4500000000000002</v>
      </c>
      <c r="V165" t="str">
        <f>IF(fin_table[[#This Row],[Interest Rate(%)]]&gt;4,"high","low")</f>
        <v>low</v>
      </c>
      <c r="W165" s="5">
        <v>26681.654999999999</v>
      </c>
      <c r="X165" s="5">
        <f>fin_table[[#This Row],[Interest Rate]]*fin_table[[#This Row],[Loan Amount]]</f>
        <v>653.70054749999997</v>
      </c>
      <c r="Y165">
        <v>13</v>
      </c>
      <c r="Z165" s="3">
        <v>826</v>
      </c>
      <c r="AA165" s="3" t="str">
        <f t="shared" si="18"/>
        <v>Excellent</v>
      </c>
      <c r="AB165" s="3" cm="1">
        <f t="array" ref="AB165">_xlfn.IFS(fin_table[[#This Row],[Transaction Status]]="Failed", 1, fin_table[[#This Row],[Transaction Status]]="Completed",0,fin_table[[#This Row],[Transaction Status]]="Pending",2)</f>
        <v>2</v>
      </c>
      <c r="AC165" s="3" t="str">
        <f>IF(fin_table[[#This Row],[Loan Defaulters]]=1,"Default", "Good")</f>
        <v>Good</v>
      </c>
      <c r="AD165" s="3">
        <f t="shared" si="19"/>
        <v>5</v>
      </c>
      <c r="AE165" s="4">
        <v>9555.41</v>
      </c>
      <c r="AF165" s="4" t="str">
        <f>IF(fin_table[[#This Row],[Monthly Income]]&lt;3000, "Low Income", IF(fin_table[[#This Row],[Monthly Income]]&lt;=5000, "Middle Income", "High Income"))</f>
        <v>High Income</v>
      </c>
      <c r="AG165" t="s">
        <v>45</v>
      </c>
      <c r="AH165" t="s">
        <v>3635</v>
      </c>
      <c r="AI165" t="str">
        <f t="shared" si="20"/>
        <v>Low-Risk</v>
      </c>
    </row>
    <row r="166" spans="1:35" x14ac:dyDescent="0.35">
      <c r="A166" t="s">
        <v>683</v>
      </c>
      <c r="B166" t="s">
        <v>684</v>
      </c>
      <c r="C166" t="s">
        <v>685</v>
      </c>
      <c r="D166" s="1">
        <v>44985</v>
      </c>
      <c r="E166" s="1" t="str">
        <f t="shared" si="14"/>
        <v>28</v>
      </c>
      <c r="F166" s="1" t="str">
        <f t="shared" si="15"/>
        <v>Feb</v>
      </c>
      <c r="G166" s="6" t="s">
        <v>56</v>
      </c>
      <c r="H166" s="5">
        <v>2700.49</v>
      </c>
      <c r="I166" s="5" t="str">
        <f>IF(fin_table[[#This Row],[Account Balance]]&lt;20000,"Active", "Not Active")</f>
        <v>Not Active</v>
      </c>
      <c r="J166" s="5">
        <v>37879.279999999999</v>
      </c>
      <c r="K166" s="5" t="str">
        <f t="shared" si="16"/>
        <v>Medium</v>
      </c>
      <c r="L166" s="6" t="s">
        <v>100</v>
      </c>
      <c r="M166">
        <v>29</v>
      </c>
      <c r="N166" s="6" t="str">
        <f t="shared" si="17"/>
        <v>Adults</v>
      </c>
      <c r="O166" s="6" t="s">
        <v>42</v>
      </c>
      <c r="P166" s="6" t="s">
        <v>36</v>
      </c>
      <c r="Q166" t="s">
        <v>686</v>
      </c>
      <c r="R166" s="6" t="s">
        <v>52</v>
      </c>
      <c r="S166" s="6" t="s">
        <v>29</v>
      </c>
      <c r="T166" s="14">
        <v>1.8499999999999999E-2</v>
      </c>
      <c r="U166">
        <v>1.85</v>
      </c>
      <c r="V166" t="str">
        <f>IF(fin_table[[#This Row],[Interest Rate(%)]]&gt;4,"high","low")</f>
        <v>low</v>
      </c>
      <c r="W166" s="5">
        <v>26681.654999999999</v>
      </c>
      <c r="X166" s="5">
        <f>fin_table[[#This Row],[Interest Rate]]*fin_table[[#This Row],[Loan Amount]]</f>
        <v>493.61061749999993</v>
      </c>
      <c r="Y166">
        <v>13</v>
      </c>
      <c r="Z166" s="3">
        <v>730</v>
      </c>
      <c r="AA166" s="3" t="str">
        <f t="shared" si="18"/>
        <v>Good</v>
      </c>
      <c r="AB166" s="3" cm="1">
        <f t="array" ref="AB166">_xlfn.IFS(fin_table[[#This Row],[Transaction Status]]="Failed", 1, fin_table[[#This Row],[Transaction Status]]="Completed",0,fin_table[[#This Row],[Transaction Status]]="Pending",2)</f>
        <v>1</v>
      </c>
      <c r="AC166" s="3" t="str">
        <f>IF(fin_table[[#This Row],[Loan Defaulters]]=1,"Default", "Good")</f>
        <v>Default</v>
      </c>
      <c r="AD166" s="3">
        <f t="shared" si="19"/>
        <v>3</v>
      </c>
      <c r="AE166" s="4">
        <v>14463.07</v>
      </c>
      <c r="AF166" s="4" t="str">
        <f>IF(fin_table[[#This Row],[Monthly Income]]&lt;3000, "Low Income", IF(fin_table[[#This Row],[Monthly Income]]&lt;=5000, "Middle Income", "High Income"))</f>
        <v>High Income</v>
      </c>
      <c r="AG166" t="s">
        <v>63</v>
      </c>
      <c r="AH166" t="s">
        <v>3635</v>
      </c>
      <c r="AI166" t="str">
        <f t="shared" si="20"/>
        <v>Low-Risk</v>
      </c>
    </row>
    <row r="167" spans="1:35" x14ac:dyDescent="0.35">
      <c r="A167" t="s">
        <v>687</v>
      </c>
      <c r="B167" t="s">
        <v>688</v>
      </c>
      <c r="C167" t="s">
        <v>689</v>
      </c>
      <c r="D167" s="1">
        <v>44662</v>
      </c>
      <c r="E167" s="1" t="str">
        <f t="shared" si="14"/>
        <v>11</v>
      </c>
      <c r="F167" s="1" t="str">
        <f t="shared" si="15"/>
        <v>Apr</v>
      </c>
      <c r="G167" s="6" t="s">
        <v>71</v>
      </c>
      <c r="H167" s="5">
        <v>2788.53</v>
      </c>
      <c r="I167" s="5" t="str">
        <f>IF(fin_table[[#This Row],[Account Balance]]&lt;20000,"Active", "Not Active")</f>
        <v>Not Active</v>
      </c>
      <c r="J167" s="5">
        <v>23787.71</v>
      </c>
      <c r="K167" s="5" t="str">
        <f t="shared" si="16"/>
        <v>Medium</v>
      </c>
      <c r="L167" s="6" t="s">
        <v>35</v>
      </c>
      <c r="M167">
        <v>55</v>
      </c>
      <c r="N167" s="6" t="str">
        <f t="shared" si="17"/>
        <v>Older Adults</v>
      </c>
      <c r="O167" s="6" t="s">
        <v>25</v>
      </c>
      <c r="P167" s="6" t="s">
        <v>26</v>
      </c>
      <c r="Q167" t="s">
        <v>690</v>
      </c>
      <c r="R167" s="6" t="s">
        <v>52</v>
      </c>
      <c r="S167" s="6" t="s">
        <v>62</v>
      </c>
      <c r="T167" s="14">
        <v>2.5399999999999999E-2</v>
      </c>
      <c r="U167">
        <v>2.54</v>
      </c>
      <c r="V167" t="str">
        <f>IF(fin_table[[#This Row],[Interest Rate(%)]]&gt;4,"high","low")</f>
        <v>low</v>
      </c>
      <c r="W167" s="5">
        <v>45253.55</v>
      </c>
      <c r="X167" s="5">
        <f>fin_table[[#This Row],[Interest Rate]]*fin_table[[#This Row],[Loan Amount]]</f>
        <v>1149.4401700000001</v>
      </c>
      <c r="Y167">
        <v>13</v>
      </c>
      <c r="Z167" s="3">
        <v>678</v>
      </c>
      <c r="AA167" s="3" t="str">
        <f t="shared" si="18"/>
        <v>Good</v>
      </c>
      <c r="AB167" s="3" cm="1">
        <f t="array" ref="AB167">_xlfn.IFS(fin_table[[#This Row],[Transaction Status]]="Failed", 1, fin_table[[#This Row],[Transaction Status]]="Completed",0,fin_table[[#This Row],[Transaction Status]]="Pending",2)</f>
        <v>2</v>
      </c>
      <c r="AC167" s="3" t="str">
        <f>IF(fin_table[[#This Row],[Loan Defaulters]]=1,"Default", "Good")</f>
        <v>Good</v>
      </c>
      <c r="AD167" s="3">
        <f t="shared" si="19"/>
        <v>3</v>
      </c>
      <c r="AE167" s="4">
        <v>2278.7199999999998</v>
      </c>
      <c r="AF167" s="4" t="str">
        <f>IF(fin_table[[#This Row],[Monthly Income]]&lt;3000, "Low Income", IF(fin_table[[#This Row],[Monthly Income]]&lt;=5000, "Middle Income", "High Income"))</f>
        <v>Low Income</v>
      </c>
      <c r="AG167" t="s">
        <v>63</v>
      </c>
      <c r="AH167" t="s">
        <v>3636</v>
      </c>
      <c r="AI167" t="str">
        <f t="shared" si="20"/>
        <v>Low-Risk</v>
      </c>
    </row>
    <row r="168" spans="1:35" x14ac:dyDescent="0.35">
      <c r="A168" t="s">
        <v>691</v>
      </c>
      <c r="B168" t="s">
        <v>692</v>
      </c>
      <c r="C168" t="s">
        <v>693</v>
      </c>
      <c r="D168" s="1">
        <v>45058</v>
      </c>
      <c r="E168" s="1" t="str">
        <f t="shared" si="14"/>
        <v>12</v>
      </c>
      <c r="F168" s="1" t="str">
        <f t="shared" si="15"/>
        <v>May</v>
      </c>
      <c r="G168" s="6" t="s">
        <v>34</v>
      </c>
      <c r="H168" s="5">
        <v>4781.68</v>
      </c>
      <c r="I168" s="5" t="str">
        <f>IF(fin_table[[#This Row],[Account Balance]]&lt;20000,"Active", "Not Active")</f>
        <v>Not Active</v>
      </c>
      <c r="J168" s="5">
        <v>43834.36</v>
      </c>
      <c r="K168" s="5" t="str">
        <f t="shared" si="16"/>
        <v>Medium</v>
      </c>
      <c r="L168" s="6" t="s">
        <v>49</v>
      </c>
      <c r="M168">
        <v>61</v>
      </c>
      <c r="N168" s="6" t="str">
        <f t="shared" si="17"/>
        <v>Seniors</v>
      </c>
      <c r="O168" s="6" t="s">
        <v>42</v>
      </c>
      <c r="P168" s="6" t="s">
        <v>26</v>
      </c>
      <c r="Q168" t="s">
        <v>694</v>
      </c>
      <c r="R168" s="6" t="s">
        <v>52</v>
      </c>
      <c r="S168" s="6" t="s">
        <v>29</v>
      </c>
      <c r="T168" s="14">
        <v>3.9600000000000003E-2</v>
      </c>
      <c r="U168">
        <v>3.96</v>
      </c>
      <c r="V168" t="str">
        <f>IF(fin_table[[#This Row],[Interest Rate(%)]]&gt;4,"high","low")</f>
        <v>low</v>
      </c>
      <c r="W168" s="5">
        <v>26681.654999999999</v>
      </c>
      <c r="X168" s="5">
        <f>fin_table[[#This Row],[Interest Rate]]*fin_table[[#This Row],[Loan Amount]]</f>
        <v>1056.5935380000001</v>
      </c>
      <c r="Y168">
        <v>13</v>
      </c>
      <c r="Z168" s="3">
        <v>727</v>
      </c>
      <c r="AA168" s="3" t="str">
        <f t="shared" si="18"/>
        <v>Good</v>
      </c>
      <c r="AB168" s="3" cm="1">
        <f t="array" ref="AB168">_xlfn.IFS(fin_table[[#This Row],[Transaction Status]]="Failed", 1, fin_table[[#This Row],[Transaction Status]]="Completed",0,fin_table[[#This Row],[Transaction Status]]="Pending",2)</f>
        <v>1</v>
      </c>
      <c r="AC168" s="3" t="str">
        <f>IF(fin_table[[#This Row],[Loan Defaulters]]=1,"Default", "Good")</f>
        <v>Default</v>
      </c>
      <c r="AD168" s="3">
        <f t="shared" si="19"/>
        <v>3</v>
      </c>
      <c r="AE168" s="4">
        <v>11602.48</v>
      </c>
      <c r="AF168" s="4" t="str">
        <f>IF(fin_table[[#This Row],[Monthly Income]]&lt;3000, "Low Income", IF(fin_table[[#This Row],[Monthly Income]]&lt;=5000, "Middle Income", "High Income"))</f>
        <v>High Income</v>
      </c>
      <c r="AG168" t="s">
        <v>63</v>
      </c>
      <c r="AH168" t="s">
        <v>3635</v>
      </c>
      <c r="AI168" t="str">
        <f t="shared" si="20"/>
        <v>Low-Risk</v>
      </c>
    </row>
    <row r="169" spans="1:35" x14ac:dyDescent="0.35">
      <c r="A169" t="s">
        <v>695</v>
      </c>
      <c r="B169" t="s">
        <v>696</v>
      </c>
      <c r="C169" t="s">
        <v>697</v>
      </c>
      <c r="D169" s="1">
        <v>44581</v>
      </c>
      <c r="E169" s="1" t="str">
        <f t="shared" si="14"/>
        <v>20</v>
      </c>
      <c r="F169" s="1" t="str">
        <f t="shared" si="15"/>
        <v>Jan</v>
      </c>
      <c r="G169" s="6" t="s">
        <v>71</v>
      </c>
      <c r="H169" s="5">
        <v>9840.02</v>
      </c>
      <c r="I169" s="5" t="str">
        <f>IF(fin_table[[#This Row],[Account Balance]]&lt;20000,"Active", "Not Active")</f>
        <v>Active</v>
      </c>
      <c r="J169" s="5">
        <v>10968.39</v>
      </c>
      <c r="K169" s="5" t="str">
        <f t="shared" si="16"/>
        <v>Medium</v>
      </c>
      <c r="L169" s="6" t="s">
        <v>24</v>
      </c>
      <c r="M169">
        <v>63</v>
      </c>
      <c r="N169" s="6" t="str">
        <f t="shared" si="17"/>
        <v>Seniors</v>
      </c>
      <c r="O169" s="6" t="s">
        <v>25</v>
      </c>
      <c r="P169" s="6" t="s">
        <v>26</v>
      </c>
      <c r="Q169" t="s">
        <v>698</v>
      </c>
      <c r="R169" s="6" t="s">
        <v>38</v>
      </c>
      <c r="S169" s="6" t="s">
        <v>62</v>
      </c>
      <c r="T169" s="14">
        <v>2.6700000000000002E-2</v>
      </c>
      <c r="U169">
        <v>2.67</v>
      </c>
      <c r="V169" t="str">
        <f>IF(fin_table[[#This Row],[Interest Rate(%)]]&gt;4,"high","low")</f>
        <v>low</v>
      </c>
      <c r="W169" s="5">
        <v>26681.654999999999</v>
      </c>
      <c r="X169" s="5">
        <f>fin_table[[#This Row],[Interest Rate]]*fin_table[[#This Row],[Loan Amount]]</f>
        <v>712.40018850000001</v>
      </c>
      <c r="Y169">
        <v>13</v>
      </c>
      <c r="Z169" s="3">
        <v>383</v>
      </c>
      <c r="AA169" s="3" t="str">
        <f t="shared" si="18"/>
        <v>Poor</v>
      </c>
      <c r="AB169" s="3" cm="1">
        <f t="array" ref="AB169">_xlfn.IFS(fin_table[[#This Row],[Transaction Status]]="Failed", 1, fin_table[[#This Row],[Transaction Status]]="Completed",0,fin_table[[#This Row],[Transaction Status]]="Pending",2)</f>
        <v>2</v>
      </c>
      <c r="AC169" s="3" t="str">
        <f>IF(fin_table[[#This Row],[Loan Defaulters]]=1,"Default", "Good")</f>
        <v>Good</v>
      </c>
      <c r="AD169" s="3">
        <f t="shared" si="19"/>
        <v>1</v>
      </c>
      <c r="AE169" s="4">
        <v>14464.23</v>
      </c>
      <c r="AF169" s="4" t="str">
        <f>IF(fin_table[[#This Row],[Monthly Income]]&lt;3000, "Low Income", IF(fin_table[[#This Row],[Monthly Income]]&lt;=5000, "Middle Income", "High Income"))</f>
        <v>High Income</v>
      </c>
      <c r="AG169" t="s">
        <v>30</v>
      </c>
      <c r="AH169" t="s">
        <v>3635</v>
      </c>
      <c r="AI169" t="str">
        <f t="shared" si="20"/>
        <v>Low-Risk</v>
      </c>
    </row>
    <row r="170" spans="1:35" x14ac:dyDescent="0.35">
      <c r="A170" t="s">
        <v>699</v>
      </c>
      <c r="B170" t="s">
        <v>588</v>
      </c>
      <c r="C170" t="s">
        <v>700</v>
      </c>
      <c r="D170" s="1">
        <v>44809</v>
      </c>
      <c r="E170" s="1" t="str">
        <f t="shared" si="14"/>
        <v>05</v>
      </c>
      <c r="F170" s="1" t="str">
        <f t="shared" si="15"/>
        <v>Sep</v>
      </c>
      <c r="G170" s="6" t="s">
        <v>71</v>
      </c>
      <c r="H170" s="5">
        <v>2762.69</v>
      </c>
      <c r="I170" s="5" t="str">
        <f>IF(fin_table[[#This Row],[Account Balance]]&lt;20000,"Active", "Not Active")</f>
        <v>Active</v>
      </c>
      <c r="J170" s="5">
        <v>7241.93</v>
      </c>
      <c r="K170" s="5" t="str">
        <f t="shared" si="16"/>
        <v>Low</v>
      </c>
      <c r="L170" s="6" t="s">
        <v>125</v>
      </c>
      <c r="M170">
        <v>51</v>
      </c>
      <c r="N170" s="6" t="str">
        <f t="shared" si="17"/>
        <v>Older Adults</v>
      </c>
      <c r="O170" s="6" t="s">
        <v>25</v>
      </c>
      <c r="P170" s="6" t="s">
        <v>26</v>
      </c>
      <c r="Q170" t="s">
        <v>701</v>
      </c>
      <c r="R170" s="6" t="s">
        <v>38</v>
      </c>
      <c r="S170" s="6" t="s">
        <v>44</v>
      </c>
      <c r="T170" s="14">
        <v>3.95E-2</v>
      </c>
      <c r="U170">
        <v>3.95</v>
      </c>
      <c r="V170" t="str">
        <f>IF(fin_table[[#This Row],[Interest Rate(%)]]&gt;4,"high","low")</f>
        <v>low</v>
      </c>
      <c r="W170" s="5">
        <v>26681.654999999999</v>
      </c>
      <c r="X170" s="5">
        <f>fin_table[[#This Row],[Interest Rate]]*fin_table[[#This Row],[Loan Amount]]</f>
        <v>1053.9253724999999</v>
      </c>
      <c r="Y170">
        <v>12</v>
      </c>
      <c r="Z170" s="3">
        <v>491</v>
      </c>
      <c r="AA170" s="3" t="str">
        <f t="shared" si="18"/>
        <v>Poor</v>
      </c>
      <c r="AB170" s="3" cm="1">
        <f t="array" ref="AB170">_xlfn.IFS(fin_table[[#This Row],[Transaction Status]]="Failed", 1, fin_table[[#This Row],[Transaction Status]]="Completed",0,fin_table[[#This Row],[Transaction Status]]="Pending",2)</f>
        <v>0</v>
      </c>
      <c r="AC170" s="3" t="str">
        <f>IF(fin_table[[#This Row],[Loan Defaulters]]=1,"Default", "Good")</f>
        <v>Good</v>
      </c>
      <c r="AD170" s="3">
        <f t="shared" si="19"/>
        <v>1</v>
      </c>
      <c r="AE170" s="4">
        <v>13209.53</v>
      </c>
      <c r="AF170" s="4" t="str">
        <f>IF(fin_table[[#This Row],[Monthly Income]]&lt;3000, "Low Income", IF(fin_table[[#This Row],[Monthly Income]]&lt;=5000, "Middle Income", "High Income"))</f>
        <v>High Income</v>
      </c>
      <c r="AG170" t="s">
        <v>45</v>
      </c>
      <c r="AH170" t="s">
        <v>3635</v>
      </c>
      <c r="AI170" t="str">
        <f t="shared" si="20"/>
        <v>Low-Risk</v>
      </c>
    </row>
    <row r="171" spans="1:35" x14ac:dyDescent="0.35">
      <c r="A171" t="s">
        <v>702</v>
      </c>
      <c r="B171" t="s">
        <v>703</v>
      </c>
      <c r="C171" t="s">
        <v>704</v>
      </c>
      <c r="D171" s="1">
        <v>44853</v>
      </c>
      <c r="E171" s="1" t="str">
        <f t="shared" si="14"/>
        <v>19</v>
      </c>
      <c r="F171" s="1" t="str">
        <f t="shared" si="15"/>
        <v>Oct</v>
      </c>
      <c r="G171" s="6" t="s">
        <v>71</v>
      </c>
      <c r="H171" s="5">
        <v>4129.0200000000004</v>
      </c>
      <c r="I171" s="5" t="str">
        <f>IF(fin_table[[#This Row],[Account Balance]]&lt;20000,"Active", "Not Active")</f>
        <v>Active</v>
      </c>
      <c r="J171" s="5">
        <v>14989.93</v>
      </c>
      <c r="K171" s="5" t="str">
        <f t="shared" si="16"/>
        <v>Medium</v>
      </c>
      <c r="L171" s="6" t="s">
        <v>100</v>
      </c>
      <c r="M171">
        <v>58</v>
      </c>
      <c r="N171" s="6" t="str">
        <f t="shared" si="17"/>
        <v>Older Adults</v>
      </c>
      <c r="O171" s="6" t="s">
        <v>42</v>
      </c>
      <c r="P171" s="6" t="s">
        <v>26</v>
      </c>
      <c r="Q171" t="s">
        <v>705</v>
      </c>
      <c r="R171" s="6" t="s">
        <v>28</v>
      </c>
      <c r="S171" s="6" t="s">
        <v>44</v>
      </c>
      <c r="T171" s="14">
        <v>1.4500000000000001E-2</v>
      </c>
      <c r="U171">
        <v>1.45</v>
      </c>
      <c r="V171" t="str">
        <f>IF(fin_table[[#This Row],[Interest Rate(%)]]&gt;4,"high","low")</f>
        <v>low</v>
      </c>
      <c r="W171" s="5">
        <v>18691.080000000002</v>
      </c>
      <c r="X171" s="5">
        <f>fin_table[[#This Row],[Interest Rate]]*fin_table[[#This Row],[Loan Amount]]</f>
        <v>271.02066000000002</v>
      </c>
      <c r="Y171">
        <v>25</v>
      </c>
      <c r="Z171" s="3">
        <v>340</v>
      </c>
      <c r="AA171" s="3" t="str">
        <f t="shared" si="18"/>
        <v>Poor</v>
      </c>
      <c r="AB171" s="3" cm="1">
        <f t="array" ref="AB171">_xlfn.IFS(fin_table[[#This Row],[Transaction Status]]="Failed", 1, fin_table[[#This Row],[Transaction Status]]="Completed",0,fin_table[[#This Row],[Transaction Status]]="Pending",2)</f>
        <v>0</v>
      </c>
      <c r="AC171" s="3" t="str">
        <f>IF(fin_table[[#This Row],[Loan Defaulters]]=1,"Default", "Good")</f>
        <v>Good</v>
      </c>
      <c r="AD171" s="3">
        <f t="shared" si="19"/>
        <v>1</v>
      </c>
      <c r="AE171" s="4">
        <v>4182.6000000000004</v>
      </c>
      <c r="AF171" s="4" t="str">
        <f>IF(fin_table[[#This Row],[Monthly Income]]&lt;3000, "Low Income", IF(fin_table[[#This Row],[Monthly Income]]&lt;=5000, "Middle Income", "High Income"))</f>
        <v>Middle Income</v>
      </c>
      <c r="AG171" t="s">
        <v>30</v>
      </c>
      <c r="AH171" t="s">
        <v>3636</v>
      </c>
      <c r="AI171" t="str">
        <f t="shared" si="20"/>
        <v>Low-Risk</v>
      </c>
    </row>
    <row r="172" spans="1:35" x14ac:dyDescent="0.35">
      <c r="A172" t="s">
        <v>706</v>
      </c>
      <c r="B172" t="s">
        <v>707</v>
      </c>
      <c r="C172" t="s">
        <v>708</v>
      </c>
      <c r="D172" s="1">
        <v>44711</v>
      </c>
      <c r="E172" s="1" t="str">
        <f t="shared" si="14"/>
        <v>30</v>
      </c>
      <c r="F172" s="1" t="str">
        <f t="shared" si="15"/>
        <v>May</v>
      </c>
      <c r="G172" s="6" t="s">
        <v>34</v>
      </c>
      <c r="H172" s="5">
        <v>8925.65</v>
      </c>
      <c r="I172" s="5" t="str">
        <f>IF(fin_table[[#This Row],[Account Balance]]&lt;20000,"Active", "Not Active")</f>
        <v>Not Active</v>
      </c>
      <c r="J172" s="5">
        <v>27047.29</v>
      </c>
      <c r="K172" s="5" t="str">
        <f t="shared" si="16"/>
        <v>Medium</v>
      </c>
      <c r="L172" s="6" t="s">
        <v>49</v>
      </c>
      <c r="M172">
        <v>27</v>
      </c>
      <c r="N172" s="6" t="str">
        <f t="shared" si="17"/>
        <v>Adults</v>
      </c>
      <c r="O172" s="6" t="s">
        <v>42</v>
      </c>
      <c r="P172" s="6" t="s">
        <v>36</v>
      </c>
      <c r="Q172" t="s">
        <v>709</v>
      </c>
      <c r="R172" s="6" t="s">
        <v>52</v>
      </c>
      <c r="S172" s="6" t="s">
        <v>44</v>
      </c>
      <c r="T172" s="14">
        <v>4.2200000000000001E-2</v>
      </c>
      <c r="U172">
        <v>4.22</v>
      </c>
      <c r="V172" t="str">
        <f>IF(fin_table[[#This Row],[Interest Rate(%)]]&gt;4,"high","low")</f>
        <v>high</v>
      </c>
      <c r="W172" s="5">
        <v>26681.654999999999</v>
      </c>
      <c r="X172" s="5">
        <f>fin_table[[#This Row],[Interest Rate]]*fin_table[[#This Row],[Loan Amount]]</f>
        <v>1125.965841</v>
      </c>
      <c r="Y172">
        <v>9</v>
      </c>
      <c r="Z172" s="3">
        <v>608</v>
      </c>
      <c r="AA172" s="3" t="str">
        <f t="shared" si="18"/>
        <v>Fair</v>
      </c>
      <c r="AB172" s="3" cm="1">
        <f t="array" ref="AB172">_xlfn.IFS(fin_table[[#This Row],[Transaction Status]]="Failed", 1, fin_table[[#This Row],[Transaction Status]]="Completed",0,fin_table[[#This Row],[Transaction Status]]="Pending",2)</f>
        <v>0</v>
      </c>
      <c r="AC172" s="3" t="str">
        <f>IF(fin_table[[#This Row],[Loan Defaulters]]=1,"Default", "Good")</f>
        <v>Good</v>
      </c>
      <c r="AD172" s="3">
        <f t="shared" si="19"/>
        <v>2</v>
      </c>
      <c r="AE172" s="4">
        <v>6248.66</v>
      </c>
      <c r="AF172" s="4" t="str">
        <f>IF(fin_table[[#This Row],[Monthly Income]]&lt;3000, "Low Income", IF(fin_table[[#This Row],[Monthly Income]]&lt;=5000, "Middle Income", "High Income"))</f>
        <v>High Income</v>
      </c>
      <c r="AG172" t="s">
        <v>45</v>
      </c>
      <c r="AH172" t="s">
        <v>3635</v>
      </c>
      <c r="AI172" t="str">
        <f t="shared" si="20"/>
        <v>Low-Risk</v>
      </c>
    </row>
    <row r="173" spans="1:35" x14ac:dyDescent="0.35">
      <c r="A173" t="s">
        <v>710</v>
      </c>
      <c r="B173" t="s">
        <v>711</v>
      </c>
      <c r="C173" t="s">
        <v>712</v>
      </c>
      <c r="D173" s="1">
        <v>44887</v>
      </c>
      <c r="E173" s="1" t="str">
        <f t="shared" si="14"/>
        <v>22</v>
      </c>
      <c r="F173" s="1" t="str">
        <f t="shared" si="15"/>
        <v>Nov</v>
      </c>
      <c r="G173" s="6" t="s">
        <v>23</v>
      </c>
      <c r="H173" s="5">
        <v>128.91999999999999</v>
      </c>
      <c r="I173" s="5" t="str">
        <f>IF(fin_table[[#This Row],[Account Balance]]&lt;20000,"Active", "Not Active")</f>
        <v>Not Active</v>
      </c>
      <c r="J173" s="5">
        <v>26017.53</v>
      </c>
      <c r="K173" s="5" t="str">
        <f t="shared" si="16"/>
        <v>Medium</v>
      </c>
      <c r="L173" s="6" t="s">
        <v>100</v>
      </c>
      <c r="M173">
        <v>34</v>
      </c>
      <c r="N173" s="6" t="str">
        <f t="shared" si="17"/>
        <v>Adults</v>
      </c>
      <c r="O173" s="6" t="s">
        <v>42</v>
      </c>
      <c r="P173" s="6" t="s">
        <v>50</v>
      </c>
      <c r="Q173" t="s">
        <v>713</v>
      </c>
      <c r="R173" s="6" t="s">
        <v>38</v>
      </c>
      <c r="S173" s="6" t="s">
        <v>29</v>
      </c>
      <c r="T173" s="14">
        <v>2.01E-2</v>
      </c>
      <c r="U173">
        <v>2.0099999999999998</v>
      </c>
      <c r="V173" t="str">
        <f>IF(fin_table[[#This Row],[Interest Rate(%)]]&gt;4,"high","low")</f>
        <v>low</v>
      </c>
      <c r="W173" s="5">
        <v>26681.654999999999</v>
      </c>
      <c r="X173" s="5">
        <f>fin_table[[#This Row],[Interest Rate]]*fin_table[[#This Row],[Loan Amount]]</f>
        <v>536.3012655</v>
      </c>
      <c r="Y173">
        <v>13</v>
      </c>
      <c r="Z173" s="3">
        <v>677</v>
      </c>
      <c r="AA173" s="3" t="str">
        <f t="shared" si="18"/>
        <v>Good</v>
      </c>
      <c r="AB173" s="3" cm="1">
        <f t="array" ref="AB173">_xlfn.IFS(fin_table[[#This Row],[Transaction Status]]="Failed", 1, fin_table[[#This Row],[Transaction Status]]="Completed",0,fin_table[[#This Row],[Transaction Status]]="Pending",2)</f>
        <v>1</v>
      </c>
      <c r="AC173" s="3" t="str">
        <f>IF(fin_table[[#This Row],[Loan Defaulters]]=1,"Default", "Good")</f>
        <v>Default</v>
      </c>
      <c r="AD173" s="3">
        <f t="shared" si="19"/>
        <v>3</v>
      </c>
      <c r="AE173" s="4">
        <v>4241.87</v>
      </c>
      <c r="AF173" s="4" t="str">
        <f>IF(fin_table[[#This Row],[Monthly Income]]&lt;3000, "Low Income", IF(fin_table[[#This Row],[Monthly Income]]&lt;=5000, "Middle Income", "High Income"))</f>
        <v>Middle Income</v>
      </c>
      <c r="AG173" t="s">
        <v>30</v>
      </c>
      <c r="AH173" t="s">
        <v>3635</v>
      </c>
      <c r="AI173" t="str">
        <f t="shared" si="20"/>
        <v>Low-Risk</v>
      </c>
    </row>
    <row r="174" spans="1:35" x14ac:dyDescent="0.35">
      <c r="A174" t="s">
        <v>714</v>
      </c>
      <c r="B174" t="s">
        <v>715</v>
      </c>
      <c r="C174" t="s">
        <v>716</v>
      </c>
      <c r="D174" s="1">
        <v>44951</v>
      </c>
      <c r="E174" s="1" t="str">
        <f t="shared" si="14"/>
        <v>25</v>
      </c>
      <c r="F174" s="1" t="str">
        <f t="shared" si="15"/>
        <v>Jan</v>
      </c>
      <c r="G174" s="6" t="s">
        <v>71</v>
      </c>
      <c r="H174" s="5">
        <v>493.68</v>
      </c>
      <c r="I174" s="5" t="str">
        <f>IF(fin_table[[#This Row],[Account Balance]]&lt;20000,"Active", "Not Active")</f>
        <v>Not Active</v>
      </c>
      <c r="J174" s="5">
        <v>41209.339999999997</v>
      </c>
      <c r="K174" s="5" t="str">
        <f t="shared" si="16"/>
        <v>Medium</v>
      </c>
      <c r="L174" s="6" t="s">
        <v>35</v>
      </c>
      <c r="M174">
        <v>34</v>
      </c>
      <c r="N174" s="6" t="str">
        <f t="shared" si="17"/>
        <v>Adults</v>
      </c>
      <c r="O174" s="6" t="s">
        <v>42</v>
      </c>
      <c r="P174" s="6" t="s">
        <v>36</v>
      </c>
      <c r="Q174" t="s">
        <v>717</v>
      </c>
      <c r="R174" s="6" t="s">
        <v>38</v>
      </c>
      <c r="S174" s="6" t="s">
        <v>44</v>
      </c>
      <c r="T174" s="47">
        <v>0.02</v>
      </c>
      <c r="U174">
        <v>0.02</v>
      </c>
      <c r="V174" t="str">
        <f>IF(fin_table[[#This Row],[Interest Rate(%)]]&gt;4,"high","low")</f>
        <v>low</v>
      </c>
      <c r="W174" s="5">
        <v>46679.37</v>
      </c>
      <c r="X174" s="5">
        <f>fin_table[[#This Row],[Interest Rate]]*fin_table[[#This Row],[Loan Amount]]</f>
        <v>933.58740000000012</v>
      </c>
      <c r="Y174">
        <v>13</v>
      </c>
      <c r="Z174" s="3">
        <v>435</v>
      </c>
      <c r="AA174" s="3" t="str">
        <f t="shared" si="18"/>
        <v>Poor</v>
      </c>
      <c r="AB174" s="3" cm="1">
        <f t="array" ref="AB174">_xlfn.IFS(fin_table[[#This Row],[Transaction Status]]="Failed", 1, fin_table[[#This Row],[Transaction Status]]="Completed",0,fin_table[[#This Row],[Transaction Status]]="Pending",2)</f>
        <v>0</v>
      </c>
      <c r="AC174" s="3" t="str">
        <f>IF(fin_table[[#This Row],[Loan Defaulters]]=1,"Default", "Good")</f>
        <v>Good</v>
      </c>
      <c r="AD174" s="3">
        <f t="shared" si="19"/>
        <v>1</v>
      </c>
      <c r="AE174" s="4">
        <v>9817.01</v>
      </c>
      <c r="AF174" s="4" t="str">
        <f>IF(fin_table[[#This Row],[Monthly Income]]&lt;3000, "Low Income", IF(fin_table[[#This Row],[Monthly Income]]&lt;=5000, "Middle Income", "High Income"))</f>
        <v>High Income</v>
      </c>
      <c r="AG174" t="s">
        <v>63</v>
      </c>
      <c r="AH174" t="s">
        <v>3636</v>
      </c>
      <c r="AI174" t="str">
        <f t="shared" si="20"/>
        <v>High-Risk</v>
      </c>
    </row>
    <row r="175" spans="1:35" x14ac:dyDescent="0.35">
      <c r="A175" t="s">
        <v>718</v>
      </c>
      <c r="B175" t="s">
        <v>719</v>
      </c>
      <c r="C175" t="s">
        <v>720</v>
      </c>
      <c r="D175" s="1">
        <v>44875</v>
      </c>
      <c r="E175" s="1" t="str">
        <f t="shared" si="14"/>
        <v>10</v>
      </c>
      <c r="F175" s="1" t="str">
        <f t="shared" si="15"/>
        <v>Nov</v>
      </c>
      <c r="G175" s="6" t="s">
        <v>34</v>
      </c>
      <c r="H175" s="5">
        <v>6080.31</v>
      </c>
      <c r="I175" s="5" t="str">
        <f>IF(fin_table[[#This Row],[Account Balance]]&lt;20000,"Active", "Not Active")</f>
        <v>Not Active</v>
      </c>
      <c r="J175" s="5">
        <v>20823.86</v>
      </c>
      <c r="K175" s="5" t="str">
        <f t="shared" si="16"/>
        <v>Medium</v>
      </c>
      <c r="L175" s="6" t="s">
        <v>125</v>
      </c>
      <c r="M175">
        <v>20</v>
      </c>
      <c r="N175" s="6" t="str">
        <f t="shared" si="17"/>
        <v>Young Adults</v>
      </c>
      <c r="O175" s="6" t="s">
        <v>42</v>
      </c>
      <c r="P175" s="6" t="s">
        <v>36</v>
      </c>
      <c r="Q175" t="s">
        <v>721</v>
      </c>
      <c r="R175" s="6" t="s">
        <v>52</v>
      </c>
      <c r="S175" s="6" t="s">
        <v>62</v>
      </c>
      <c r="T175" s="14">
        <v>3.3599999999999998E-2</v>
      </c>
      <c r="U175">
        <v>3.36</v>
      </c>
      <c r="V175" t="str">
        <f>IF(fin_table[[#This Row],[Interest Rate(%)]]&gt;4,"high","low")</f>
        <v>low</v>
      </c>
      <c r="W175" s="5">
        <v>8979.69</v>
      </c>
      <c r="X175" s="5">
        <f>fin_table[[#This Row],[Interest Rate]]*fin_table[[#This Row],[Loan Amount]]</f>
        <v>301.71758399999999</v>
      </c>
      <c r="Y175">
        <v>26</v>
      </c>
      <c r="Z175" s="3">
        <v>405</v>
      </c>
      <c r="AA175" s="3" t="str">
        <f t="shared" si="18"/>
        <v>Poor</v>
      </c>
      <c r="AB175" s="3" cm="1">
        <f t="array" ref="AB175">_xlfn.IFS(fin_table[[#This Row],[Transaction Status]]="Failed", 1, fin_table[[#This Row],[Transaction Status]]="Completed",0,fin_table[[#This Row],[Transaction Status]]="Pending",2)</f>
        <v>2</v>
      </c>
      <c r="AC175" s="3" t="str">
        <f>IF(fin_table[[#This Row],[Loan Defaulters]]=1,"Default", "Good")</f>
        <v>Good</v>
      </c>
      <c r="AD175" s="3">
        <f t="shared" si="19"/>
        <v>1</v>
      </c>
      <c r="AE175" s="4">
        <v>11258.44</v>
      </c>
      <c r="AF175" s="4" t="str">
        <f>IF(fin_table[[#This Row],[Monthly Income]]&lt;3000, "Low Income", IF(fin_table[[#This Row],[Monthly Income]]&lt;=5000, "Middle Income", "High Income"))</f>
        <v>High Income</v>
      </c>
      <c r="AG175" t="s">
        <v>45</v>
      </c>
      <c r="AH175" t="s">
        <v>3636</v>
      </c>
      <c r="AI175" t="str">
        <f t="shared" si="20"/>
        <v>Low-Risk</v>
      </c>
    </row>
    <row r="176" spans="1:35" x14ac:dyDescent="0.35">
      <c r="A176" t="s">
        <v>722</v>
      </c>
      <c r="B176" t="s">
        <v>723</v>
      </c>
      <c r="C176" t="s">
        <v>724</v>
      </c>
      <c r="D176" s="1">
        <v>44767</v>
      </c>
      <c r="E176" s="1" t="str">
        <f t="shared" si="14"/>
        <v>25</v>
      </c>
      <c r="F176" s="1" t="str">
        <f t="shared" si="15"/>
        <v>Jul</v>
      </c>
      <c r="G176" s="6" t="s">
        <v>23</v>
      </c>
      <c r="H176" s="5">
        <v>9083.06</v>
      </c>
      <c r="I176" s="5" t="str">
        <f>IF(fin_table[[#This Row],[Account Balance]]&lt;20000,"Active", "Not Active")</f>
        <v>Not Active</v>
      </c>
      <c r="J176" s="5">
        <v>24732.880000000001</v>
      </c>
      <c r="K176" s="5" t="str">
        <f t="shared" si="16"/>
        <v>Medium</v>
      </c>
      <c r="L176" s="6" t="s">
        <v>100</v>
      </c>
      <c r="M176">
        <v>48</v>
      </c>
      <c r="N176" s="6" t="str">
        <f t="shared" si="17"/>
        <v>Older Adults</v>
      </c>
      <c r="O176" s="6" t="s">
        <v>42</v>
      </c>
      <c r="P176" s="6" t="s">
        <v>36</v>
      </c>
      <c r="Q176" t="s">
        <v>725</v>
      </c>
      <c r="R176" s="6" t="s">
        <v>38</v>
      </c>
      <c r="S176" s="6" t="s">
        <v>29</v>
      </c>
      <c r="T176" s="14">
        <v>1.2800000000000001E-2</v>
      </c>
      <c r="U176">
        <v>1.28</v>
      </c>
      <c r="V176" t="str">
        <f>IF(fin_table[[#This Row],[Interest Rate(%)]]&gt;4,"high","low")</f>
        <v>low</v>
      </c>
      <c r="W176" s="5">
        <v>26681.654999999999</v>
      </c>
      <c r="X176" s="5">
        <f>fin_table[[#This Row],[Interest Rate]]*fin_table[[#This Row],[Loan Amount]]</f>
        <v>341.52518400000002</v>
      </c>
      <c r="Y176">
        <v>25</v>
      </c>
      <c r="Z176" s="3">
        <v>818</v>
      </c>
      <c r="AA176" s="3" t="str">
        <f t="shared" si="18"/>
        <v>Excellent</v>
      </c>
      <c r="AB176" s="3" cm="1">
        <f t="array" ref="AB176">_xlfn.IFS(fin_table[[#This Row],[Transaction Status]]="Failed", 1, fin_table[[#This Row],[Transaction Status]]="Completed",0,fin_table[[#This Row],[Transaction Status]]="Pending",2)</f>
        <v>1</v>
      </c>
      <c r="AC176" s="3" t="str">
        <f>IF(fin_table[[#This Row],[Loan Defaulters]]=1,"Default", "Good")</f>
        <v>Default</v>
      </c>
      <c r="AD176" s="3">
        <f t="shared" si="19"/>
        <v>5</v>
      </c>
      <c r="AE176" s="4">
        <v>6121.96</v>
      </c>
      <c r="AF176" s="4" t="str">
        <f>IF(fin_table[[#This Row],[Monthly Income]]&lt;3000, "Low Income", IF(fin_table[[#This Row],[Monthly Income]]&lt;=5000, "Middle Income", "High Income"))</f>
        <v>High Income</v>
      </c>
      <c r="AG176" t="s">
        <v>30</v>
      </c>
      <c r="AH176" t="s">
        <v>3635</v>
      </c>
      <c r="AI176" t="str">
        <f t="shared" si="20"/>
        <v>Low-Risk</v>
      </c>
    </row>
    <row r="177" spans="1:35" x14ac:dyDescent="0.35">
      <c r="A177" t="s">
        <v>726</v>
      </c>
      <c r="B177" t="s">
        <v>727</v>
      </c>
      <c r="C177" t="s">
        <v>728</v>
      </c>
      <c r="D177" s="1">
        <v>45014</v>
      </c>
      <c r="E177" s="1" t="str">
        <f t="shared" si="14"/>
        <v>29</v>
      </c>
      <c r="F177" s="1" t="str">
        <f t="shared" si="15"/>
        <v>Mar</v>
      </c>
      <c r="G177" s="6" t="s">
        <v>71</v>
      </c>
      <c r="H177" s="5">
        <v>2464.6799999999998</v>
      </c>
      <c r="I177" s="5" t="str">
        <f>IF(fin_table[[#This Row],[Account Balance]]&lt;20000,"Active", "Not Active")</f>
        <v>Active</v>
      </c>
      <c r="J177" s="5">
        <v>1655.02</v>
      </c>
      <c r="K177" s="5" t="str">
        <f t="shared" si="16"/>
        <v>Low</v>
      </c>
      <c r="L177" s="6" t="s">
        <v>24</v>
      </c>
      <c r="M177">
        <v>68</v>
      </c>
      <c r="N177" s="6" t="str">
        <f t="shared" si="17"/>
        <v>Seniors</v>
      </c>
      <c r="O177" s="6" t="s">
        <v>25</v>
      </c>
      <c r="P177" s="6" t="s">
        <v>36</v>
      </c>
      <c r="Q177" t="s">
        <v>601</v>
      </c>
      <c r="R177" s="6" t="s">
        <v>52</v>
      </c>
      <c r="S177" s="6" t="s">
        <v>62</v>
      </c>
      <c r="T177" s="14">
        <v>1.11E-2</v>
      </c>
      <c r="U177">
        <v>1.1100000000000001</v>
      </c>
      <c r="V177" t="str">
        <f>IF(fin_table[[#This Row],[Interest Rate(%)]]&gt;4,"high","low")</f>
        <v>low</v>
      </c>
      <c r="W177" s="5">
        <v>26681.654999999999</v>
      </c>
      <c r="X177" s="5">
        <f>fin_table[[#This Row],[Interest Rate]]*fin_table[[#This Row],[Loan Amount]]</f>
        <v>296.16637050000003</v>
      </c>
      <c r="Y177">
        <v>5</v>
      </c>
      <c r="Z177" s="3">
        <v>841</v>
      </c>
      <c r="AA177" s="3" t="str">
        <f t="shared" si="18"/>
        <v>Excellent</v>
      </c>
      <c r="AB177" s="3" cm="1">
        <f t="array" ref="AB177">_xlfn.IFS(fin_table[[#This Row],[Transaction Status]]="Failed", 1, fin_table[[#This Row],[Transaction Status]]="Completed",0,fin_table[[#This Row],[Transaction Status]]="Pending",2)</f>
        <v>2</v>
      </c>
      <c r="AC177" s="3" t="str">
        <f>IF(fin_table[[#This Row],[Loan Defaulters]]=1,"Default", "Good")</f>
        <v>Good</v>
      </c>
      <c r="AD177" s="3">
        <f t="shared" si="19"/>
        <v>5</v>
      </c>
      <c r="AE177" s="4">
        <v>9013.59</v>
      </c>
      <c r="AF177" s="4" t="str">
        <f>IF(fin_table[[#This Row],[Monthly Income]]&lt;3000, "Low Income", IF(fin_table[[#This Row],[Monthly Income]]&lt;=5000, "Middle Income", "High Income"))</f>
        <v>High Income</v>
      </c>
      <c r="AG177" t="s">
        <v>45</v>
      </c>
      <c r="AH177" t="s">
        <v>3635</v>
      </c>
      <c r="AI177" t="str">
        <f t="shared" si="20"/>
        <v>Low-Risk</v>
      </c>
    </row>
    <row r="178" spans="1:35" x14ac:dyDescent="0.35">
      <c r="A178" t="s">
        <v>729</v>
      </c>
      <c r="B178" t="s">
        <v>730</v>
      </c>
      <c r="C178" t="s">
        <v>731</v>
      </c>
      <c r="D178" s="1">
        <v>45037</v>
      </c>
      <c r="E178" s="1" t="str">
        <f t="shared" si="14"/>
        <v>21</v>
      </c>
      <c r="F178" s="1" t="str">
        <f t="shared" si="15"/>
        <v>Apr</v>
      </c>
      <c r="G178" s="6" t="s">
        <v>56</v>
      </c>
      <c r="H178" s="5">
        <v>4749.45</v>
      </c>
      <c r="I178" s="5" t="str">
        <f>IF(fin_table[[#This Row],[Account Balance]]&lt;20000,"Active", "Not Active")</f>
        <v>Not Active</v>
      </c>
      <c r="J178" s="5">
        <v>21077.22</v>
      </c>
      <c r="K178" s="5" t="str">
        <f t="shared" si="16"/>
        <v>Medium</v>
      </c>
      <c r="L178" s="6" t="s">
        <v>125</v>
      </c>
      <c r="M178">
        <v>18</v>
      </c>
      <c r="N178" s="6" t="str">
        <f t="shared" si="17"/>
        <v>Young Adults</v>
      </c>
      <c r="O178" s="6" t="s">
        <v>42</v>
      </c>
      <c r="P178" s="6" t="s">
        <v>50</v>
      </c>
      <c r="Q178" t="s">
        <v>732</v>
      </c>
      <c r="R178" s="6" t="s">
        <v>28</v>
      </c>
      <c r="S178" s="6" t="s">
        <v>29</v>
      </c>
      <c r="T178" s="14">
        <v>2.0400000000000001E-2</v>
      </c>
      <c r="U178">
        <v>2.04</v>
      </c>
      <c r="V178" t="str">
        <f>IF(fin_table[[#This Row],[Interest Rate(%)]]&gt;4,"high","low")</f>
        <v>low</v>
      </c>
      <c r="W178" s="5">
        <v>7429.97</v>
      </c>
      <c r="X178" s="5">
        <f>fin_table[[#This Row],[Interest Rate]]*fin_table[[#This Row],[Loan Amount]]</f>
        <v>151.57138800000001</v>
      </c>
      <c r="Y178">
        <v>13</v>
      </c>
      <c r="Z178" s="3">
        <v>425</v>
      </c>
      <c r="AA178" s="3" t="str">
        <f t="shared" si="18"/>
        <v>Poor</v>
      </c>
      <c r="AB178" s="3" cm="1">
        <f t="array" ref="AB178">_xlfn.IFS(fin_table[[#This Row],[Transaction Status]]="Failed", 1, fin_table[[#This Row],[Transaction Status]]="Completed",0,fin_table[[#This Row],[Transaction Status]]="Pending",2)</f>
        <v>1</v>
      </c>
      <c r="AC178" s="3" t="str">
        <f>IF(fin_table[[#This Row],[Loan Defaulters]]=1,"Default", "Good")</f>
        <v>Default</v>
      </c>
      <c r="AD178" s="3">
        <f t="shared" si="19"/>
        <v>1</v>
      </c>
      <c r="AE178" s="4">
        <v>10981.97</v>
      </c>
      <c r="AF178" s="4" t="str">
        <f>IF(fin_table[[#This Row],[Monthly Income]]&lt;3000, "Low Income", IF(fin_table[[#This Row],[Monthly Income]]&lt;=5000, "Middle Income", "High Income"))</f>
        <v>High Income</v>
      </c>
      <c r="AG178" t="s">
        <v>45</v>
      </c>
      <c r="AH178" t="s">
        <v>3636</v>
      </c>
      <c r="AI178" t="str">
        <f t="shared" si="20"/>
        <v>Low-Risk</v>
      </c>
    </row>
    <row r="179" spans="1:35" x14ac:dyDescent="0.35">
      <c r="A179" t="s">
        <v>733</v>
      </c>
      <c r="B179" t="s">
        <v>734</v>
      </c>
      <c r="C179" t="s">
        <v>735</v>
      </c>
      <c r="D179" s="1">
        <v>44829</v>
      </c>
      <c r="E179" s="1" t="str">
        <f t="shared" si="14"/>
        <v>25</v>
      </c>
      <c r="F179" s="1" t="str">
        <f t="shared" si="15"/>
        <v>Sep</v>
      </c>
      <c r="G179" s="6" t="s">
        <v>23</v>
      </c>
      <c r="H179" s="5">
        <v>4559.6099999999997</v>
      </c>
      <c r="I179" s="5" t="str">
        <f>IF(fin_table[[#This Row],[Account Balance]]&lt;20000,"Active", "Not Active")</f>
        <v>Not Active</v>
      </c>
      <c r="J179" s="5">
        <v>32740.94</v>
      </c>
      <c r="K179" s="5" t="str">
        <f t="shared" si="16"/>
        <v>Medium</v>
      </c>
      <c r="L179" s="6" t="s">
        <v>24</v>
      </c>
      <c r="M179">
        <v>29</v>
      </c>
      <c r="N179" s="6" t="str">
        <f t="shared" si="17"/>
        <v>Adults</v>
      </c>
      <c r="O179" s="6" t="s">
        <v>25</v>
      </c>
      <c r="P179" s="6" t="s">
        <v>36</v>
      </c>
      <c r="Q179" t="s">
        <v>375</v>
      </c>
      <c r="R179" s="6" t="s">
        <v>28</v>
      </c>
      <c r="S179" s="6" t="s">
        <v>62</v>
      </c>
      <c r="T179" s="14">
        <v>3.15E-2</v>
      </c>
      <c r="U179">
        <v>3.15</v>
      </c>
      <c r="V179" t="str">
        <f>IF(fin_table[[#This Row],[Interest Rate(%)]]&gt;4,"high","low")</f>
        <v>low</v>
      </c>
      <c r="W179" s="5">
        <v>21214.45</v>
      </c>
      <c r="X179" s="5">
        <f>fin_table[[#This Row],[Interest Rate]]*fin_table[[#This Row],[Loan Amount]]</f>
        <v>668.25517500000001</v>
      </c>
      <c r="Y179">
        <v>5</v>
      </c>
      <c r="Z179" s="3">
        <v>656</v>
      </c>
      <c r="AA179" s="3" t="str">
        <f t="shared" si="18"/>
        <v>Fair</v>
      </c>
      <c r="AB179" s="3" cm="1">
        <f t="array" ref="AB179">_xlfn.IFS(fin_table[[#This Row],[Transaction Status]]="Failed", 1, fin_table[[#This Row],[Transaction Status]]="Completed",0,fin_table[[#This Row],[Transaction Status]]="Pending",2)</f>
        <v>2</v>
      </c>
      <c r="AC179" s="3" t="str">
        <f>IF(fin_table[[#This Row],[Loan Defaulters]]=1,"Default", "Good")</f>
        <v>Good</v>
      </c>
      <c r="AD179" s="3">
        <f t="shared" si="19"/>
        <v>2</v>
      </c>
      <c r="AE179" s="4">
        <v>7477.42</v>
      </c>
      <c r="AF179" s="4" t="str">
        <f>IF(fin_table[[#This Row],[Monthly Income]]&lt;3000, "Low Income", IF(fin_table[[#This Row],[Monthly Income]]&lt;=5000, "Middle Income", "High Income"))</f>
        <v>High Income</v>
      </c>
      <c r="AG179" t="s">
        <v>30</v>
      </c>
      <c r="AH179" t="s">
        <v>3636</v>
      </c>
      <c r="AI179" t="str">
        <f t="shared" si="20"/>
        <v>Low-Risk</v>
      </c>
    </row>
    <row r="180" spans="1:35" x14ac:dyDescent="0.35">
      <c r="A180" t="s">
        <v>736</v>
      </c>
      <c r="B180" t="s">
        <v>737</v>
      </c>
      <c r="C180" t="s">
        <v>738</v>
      </c>
      <c r="D180" s="1">
        <v>44923</v>
      </c>
      <c r="E180" s="1" t="str">
        <f t="shared" si="14"/>
        <v>28</v>
      </c>
      <c r="F180" s="1" t="str">
        <f t="shared" si="15"/>
        <v>Dec</v>
      </c>
      <c r="G180" s="6" t="s">
        <v>71</v>
      </c>
      <c r="H180" s="5">
        <v>4782.42</v>
      </c>
      <c r="I180" s="5" t="str">
        <f>IF(fin_table[[#This Row],[Account Balance]]&lt;20000,"Active", "Not Active")</f>
        <v>Active</v>
      </c>
      <c r="J180" s="5">
        <v>1759.91</v>
      </c>
      <c r="K180" s="5" t="str">
        <f t="shared" si="16"/>
        <v>Low</v>
      </c>
      <c r="L180" s="6" t="s">
        <v>100</v>
      </c>
      <c r="M180">
        <v>56</v>
      </c>
      <c r="N180" s="6" t="str">
        <f t="shared" si="17"/>
        <v>Older Adults</v>
      </c>
      <c r="O180" s="6" t="s">
        <v>25</v>
      </c>
      <c r="P180" s="6" t="s">
        <v>26</v>
      </c>
      <c r="Q180" t="s">
        <v>739</v>
      </c>
      <c r="R180" s="6" t="s">
        <v>28</v>
      </c>
      <c r="S180" s="6" t="s">
        <v>62</v>
      </c>
      <c r="T180" s="14">
        <v>4.6300000000000001E-2</v>
      </c>
      <c r="U180">
        <v>4.63</v>
      </c>
      <c r="V180" t="str">
        <f>IF(fin_table[[#This Row],[Interest Rate(%)]]&gt;4,"high","low")</f>
        <v>high</v>
      </c>
      <c r="W180" s="5">
        <v>41591.449999999997</v>
      </c>
      <c r="X180" s="5">
        <f>fin_table[[#This Row],[Interest Rate]]*fin_table[[#This Row],[Loan Amount]]</f>
        <v>1925.684135</v>
      </c>
      <c r="Y180">
        <v>12</v>
      </c>
      <c r="Z180" s="3">
        <v>699</v>
      </c>
      <c r="AA180" s="3" t="str">
        <f t="shared" si="18"/>
        <v>Good</v>
      </c>
      <c r="AB180" s="3" cm="1">
        <f t="array" ref="AB180">_xlfn.IFS(fin_table[[#This Row],[Transaction Status]]="Failed", 1, fin_table[[#This Row],[Transaction Status]]="Completed",0,fin_table[[#This Row],[Transaction Status]]="Pending",2)</f>
        <v>2</v>
      </c>
      <c r="AC180" s="3" t="str">
        <f>IF(fin_table[[#This Row],[Loan Defaulters]]=1,"Default", "Good")</f>
        <v>Good</v>
      </c>
      <c r="AD180" s="3">
        <f t="shared" si="19"/>
        <v>3</v>
      </c>
      <c r="AE180" s="4">
        <v>13102.2</v>
      </c>
      <c r="AF180" s="4" t="str">
        <f>IF(fin_table[[#This Row],[Monthly Income]]&lt;3000, "Low Income", IF(fin_table[[#This Row],[Monthly Income]]&lt;=5000, "Middle Income", "High Income"))</f>
        <v>High Income</v>
      </c>
      <c r="AG180" t="s">
        <v>30</v>
      </c>
      <c r="AH180" t="s">
        <v>3636</v>
      </c>
      <c r="AI180" t="str">
        <f t="shared" si="20"/>
        <v>Low-Risk</v>
      </c>
    </row>
    <row r="181" spans="1:35" x14ac:dyDescent="0.35">
      <c r="A181" t="s">
        <v>740</v>
      </c>
      <c r="B181" t="s">
        <v>741</v>
      </c>
      <c r="C181" t="s">
        <v>742</v>
      </c>
      <c r="D181" s="1">
        <v>44802</v>
      </c>
      <c r="E181" s="1" t="str">
        <f t="shared" si="14"/>
        <v>29</v>
      </c>
      <c r="F181" s="1" t="str">
        <f t="shared" si="15"/>
        <v>Aug</v>
      </c>
      <c r="G181" s="6" t="s">
        <v>23</v>
      </c>
      <c r="H181" s="5">
        <v>6262.94</v>
      </c>
      <c r="I181" s="5" t="str">
        <f>IF(fin_table[[#This Row],[Account Balance]]&lt;20000,"Active", "Not Active")</f>
        <v>Active</v>
      </c>
      <c r="J181" s="5">
        <v>14763.22</v>
      </c>
      <c r="K181" s="5" t="str">
        <f t="shared" si="16"/>
        <v>Medium</v>
      </c>
      <c r="L181" s="6" t="s">
        <v>125</v>
      </c>
      <c r="M181">
        <v>21</v>
      </c>
      <c r="N181" s="6" t="str">
        <f t="shared" si="17"/>
        <v>Young Adults</v>
      </c>
      <c r="O181" s="6" t="s">
        <v>42</v>
      </c>
      <c r="P181" s="6" t="s">
        <v>36</v>
      </c>
      <c r="Q181" t="s">
        <v>743</v>
      </c>
      <c r="R181" s="6" t="s">
        <v>52</v>
      </c>
      <c r="S181" s="6" t="s">
        <v>29</v>
      </c>
      <c r="T181" s="14">
        <v>4.3900000000000002E-2</v>
      </c>
      <c r="U181">
        <v>4.3899999999999997</v>
      </c>
      <c r="V181" t="str">
        <f>IF(fin_table[[#This Row],[Interest Rate(%)]]&gt;4,"high","low")</f>
        <v>high</v>
      </c>
      <c r="W181" s="5">
        <v>32520.94</v>
      </c>
      <c r="X181" s="5">
        <f>fin_table[[#This Row],[Interest Rate]]*fin_table[[#This Row],[Loan Amount]]</f>
        <v>1427.6692659999999</v>
      </c>
      <c r="Y181">
        <v>24</v>
      </c>
      <c r="Z181" s="3">
        <v>378</v>
      </c>
      <c r="AA181" s="3" t="str">
        <f t="shared" si="18"/>
        <v>Poor</v>
      </c>
      <c r="AB181" s="3" cm="1">
        <f t="array" ref="AB181">_xlfn.IFS(fin_table[[#This Row],[Transaction Status]]="Failed", 1, fin_table[[#This Row],[Transaction Status]]="Completed",0,fin_table[[#This Row],[Transaction Status]]="Pending",2)</f>
        <v>1</v>
      </c>
      <c r="AC181" s="3" t="str">
        <f>IF(fin_table[[#This Row],[Loan Defaulters]]=1,"Default", "Good")</f>
        <v>Default</v>
      </c>
      <c r="AD181" s="3">
        <f t="shared" si="19"/>
        <v>1</v>
      </c>
      <c r="AE181" s="4">
        <v>12030.15</v>
      </c>
      <c r="AF181" s="4" t="str">
        <f>IF(fin_table[[#This Row],[Monthly Income]]&lt;3000, "Low Income", IF(fin_table[[#This Row],[Monthly Income]]&lt;=5000, "Middle Income", "High Income"))</f>
        <v>High Income</v>
      </c>
      <c r="AG181" t="s">
        <v>45</v>
      </c>
      <c r="AH181" t="s">
        <v>3636</v>
      </c>
      <c r="AI181" t="str">
        <f t="shared" si="20"/>
        <v>Low-Risk</v>
      </c>
    </row>
    <row r="182" spans="1:35" x14ac:dyDescent="0.35">
      <c r="A182" t="s">
        <v>744</v>
      </c>
      <c r="B182" t="s">
        <v>745</v>
      </c>
      <c r="C182" t="s">
        <v>746</v>
      </c>
      <c r="D182" s="1">
        <v>44661</v>
      </c>
      <c r="E182" s="1" t="str">
        <f t="shared" si="14"/>
        <v>10</v>
      </c>
      <c r="F182" s="1" t="str">
        <f t="shared" si="15"/>
        <v>Apr</v>
      </c>
      <c r="G182" s="6" t="s">
        <v>23</v>
      </c>
      <c r="H182" s="5">
        <v>4750.46</v>
      </c>
      <c r="I182" s="5" t="str">
        <f>IF(fin_table[[#This Row],[Account Balance]]&lt;20000,"Active", "Not Active")</f>
        <v>Active</v>
      </c>
      <c r="J182" s="5">
        <v>11189.86</v>
      </c>
      <c r="K182" s="5" t="str">
        <f t="shared" si="16"/>
        <v>Medium</v>
      </c>
      <c r="L182" s="6" t="s">
        <v>24</v>
      </c>
      <c r="M182">
        <v>59</v>
      </c>
      <c r="N182" s="6" t="str">
        <f t="shared" si="17"/>
        <v>Older Adults</v>
      </c>
      <c r="O182" s="6" t="s">
        <v>25</v>
      </c>
      <c r="P182" s="6" t="s">
        <v>36</v>
      </c>
      <c r="Q182" t="s">
        <v>747</v>
      </c>
      <c r="R182" s="6" t="s">
        <v>38</v>
      </c>
      <c r="S182" s="6" t="s">
        <v>29</v>
      </c>
      <c r="T182" s="14">
        <v>2.9600000000000001E-2</v>
      </c>
      <c r="U182">
        <v>2.96</v>
      </c>
      <c r="V182" t="str">
        <f>IF(fin_table[[#This Row],[Interest Rate(%)]]&gt;4,"high","low")</f>
        <v>low</v>
      </c>
      <c r="W182" s="5">
        <v>26681.654999999999</v>
      </c>
      <c r="X182" s="5">
        <f>fin_table[[#This Row],[Interest Rate]]*fin_table[[#This Row],[Loan Amount]]</f>
        <v>789.77698799999996</v>
      </c>
      <c r="Y182">
        <v>13</v>
      </c>
      <c r="Z182" s="3">
        <v>688</v>
      </c>
      <c r="AA182" s="3" t="str">
        <f t="shared" si="18"/>
        <v>Good</v>
      </c>
      <c r="AB182" s="3" cm="1">
        <f t="array" ref="AB182">_xlfn.IFS(fin_table[[#This Row],[Transaction Status]]="Failed", 1, fin_table[[#This Row],[Transaction Status]]="Completed",0,fin_table[[#This Row],[Transaction Status]]="Pending",2)</f>
        <v>1</v>
      </c>
      <c r="AC182" s="3" t="str">
        <f>IF(fin_table[[#This Row],[Loan Defaulters]]=1,"Default", "Good")</f>
        <v>Default</v>
      </c>
      <c r="AD182" s="3">
        <f t="shared" si="19"/>
        <v>3</v>
      </c>
      <c r="AE182" s="4">
        <v>2840.65</v>
      </c>
      <c r="AF182" s="4" t="str">
        <f>IF(fin_table[[#This Row],[Monthly Income]]&lt;3000, "Low Income", IF(fin_table[[#This Row],[Monthly Income]]&lt;=5000, "Middle Income", "High Income"))</f>
        <v>Low Income</v>
      </c>
      <c r="AG182" t="s">
        <v>45</v>
      </c>
      <c r="AH182" t="s">
        <v>3635</v>
      </c>
      <c r="AI182" t="str">
        <f t="shared" si="20"/>
        <v>Low-Risk</v>
      </c>
    </row>
    <row r="183" spans="1:35" x14ac:dyDescent="0.35">
      <c r="A183" t="s">
        <v>748</v>
      </c>
      <c r="B183" t="s">
        <v>749</v>
      </c>
      <c r="C183" t="s">
        <v>750</v>
      </c>
      <c r="D183" s="1">
        <v>44605</v>
      </c>
      <c r="E183" s="1" t="str">
        <f t="shared" si="14"/>
        <v>13</v>
      </c>
      <c r="F183" s="1" t="str">
        <f t="shared" si="15"/>
        <v>Feb</v>
      </c>
      <c r="G183" s="6" t="s">
        <v>23</v>
      </c>
      <c r="H183" s="5">
        <v>4529.93</v>
      </c>
      <c r="I183" s="5" t="str">
        <f>IF(fin_table[[#This Row],[Account Balance]]&lt;20000,"Active", "Not Active")</f>
        <v>Active</v>
      </c>
      <c r="J183" s="5">
        <v>3057.29</v>
      </c>
      <c r="K183" s="5" t="str">
        <f t="shared" si="16"/>
        <v>Low</v>
      </c>
      <c r="L183" s="6" t="s">
        <v>35</v>
      </c>
      <c r="M183">
        <v>30</v>
      </c>
      <c r="N183" s="6" t="str">
        <f t="shared" si="17"/>
        <v>Adults</v>
      </c>
      <c r="O183" s="6" t="s">
        <v>25</v>
      </c>
      <c r="P183" s="6" t="s">
        <v>50</v>
      </c>
      <c r="Q183" t="s">
        <v>751</v>
      </c>
      <c r="R183" s="6" t="s">
        <v>28</v>
      </c>
      <c r="S183" s="6" t="s">
        <v>44</v>
      </c>
      <c r="T183" s="14">
        <v>1.15E-2</v>
      </c>
      <c r="U183">
        <v>1.1499999999999999</v>
      </c>
      <c r="V183" t="str">
        <f>IF(fin_table[[#This Row],[Interest Rate(%)]]&gt;4,"high","low")</f>
        <v>low</v>
      </c>
      <c r="W183" s="5">
        <v>37356.5</v>
      </c>
      <c r="X183" s="5">
        <f>fin_table[[#This Row],[Interest Rate]]*fin_table[[#This Row],[Loan Amount]]</f>
        <v>429.59974999999997</v>
      </c>
      <c r="Y183">
        <v>20</v>
      </c>
      <c r="Z183" s="3">
        <v>834</v>
      </c>
      <c r="AA183" s="3" t="str">
        <f t="shared" si="18"/>
        <v>Excellent</v>
      </c>
      <c r="AB183" s="3" cm="1">
        <f t="array" ref="AB183">_xlfn.IFS(fin_table[[#This Row],[Transaction Status]]="Failed", 1, fin_table[[#This Row],[Transaction Status]]="Completed",0,fin_table[[#This Row],[Transaction Status]]="Pending",2)</f>
        <v>0</v>
      </c>
      <c r="AC183" s="3" t="str">
        <f>IF(fin_table[[#This Row],[Loan Defaulters]]=1,"Default", "Good")</f>
        <v>Good</v>
      </c>
      <c r="AD183" s="3">
        <f t="shared" si="19"/>
        <v>5</v>
      </c>
      <c r="AE183" s="4">
        <v>10074.629999999999</v>
      </c>
      <c r="AF183" s="4" t="str">
        <f>IF(fin_table[[#This Row],[Monthly Income]]&lt;3000, "Low Income", IF(fin_table[[#This Row],[Monthly Income]]&lt;=5000, "Middle Income", "High Income"))</f>
        <v>High Income</v>
      </c>
      <c r="AG183" t="s">
        <v>63</v>
      </c>
      <c r="AH183" t="s">
        <v>3636</v>
      </c>
      <c r="AI183" t="str">
        <f t="shared" si="20"/>
        <v>Low-Risk</v>
      </c>
    </row>
    <row r="184" spans="1:35" x14ac:dyDescent="0.35">
      <c r="A184" t="s">
        <v>752</v>
      </c>
      <c r="B184" t="s">
        <v>753</v>
      </c>
      <c r="C184" t="s">
        <v>754</v>
      </c>
      <c r="D184" s="1">
        <v>45030</v>
      </c>
      <c r="E184" s="1" t="str">
        <f t="shared" si="14"/>
        <v>14</v>
      </c>
      <c r="F184" s="1" t="str">
        <f t="shared" si="15"/>
        <v>Apr</v>
      </c>
      <c r="G184" s="6" t="s">
        <v>23</v>
      </c>
      <c r="H184" s="5">
        <v>4795.46</v>
      </c>
      <c r="I184" s="5" t="str">
        <f>IF(fin_table[[#This Row],[Account Balance]]&lt;20000,"Active", "Not Active")</f>
        <v>Not Active</v>
      </c>
      <c r="J184" s="5">
        <v>24483.74</v>
      </c>
      <c r="K184" s="5" t="str">
        <f t="shared" si="16"/>
        <v>Medium</v>
      </c>
      <c r="L184" s="6" t="s">
        <v>35</v>
      </c>
      <c r="M184">
        <v>51</v>
      </c>
      <c r="N184" s="6" t="str">
        <f t="shared" si="17"/>
        <v>Older Adults</v>
      </c>
      <c r="O184" s="6" t="s">
        <v>42</v>
      </c>
      <c r="P184" s="6" t="s">
        <v>50</v>
      </c>
      <c r="Q184" t="s">
        <v>566</v>
      </c>
      <c r="R184" s="6" t="s">
        <v>28</v>
      </c>
      <c r="S184" s="6" t="s">
        <v>44</v>
      </c>
      <c r="T184" s="14">
        <v>3.1399999999999997E-2</v>
      </c>
      <c r="U184">
        <v>3.14</v>
      </c>
      <c r="V184" t="str">
        <f>IF(fin_table[[#This Row],[Interest Rate(%)]]&gt;4,"high","low")</f>
        <v>low</v>
      </c>
      <c r="W184" s="5">
        <v>26681.654999999999</v>
      </c>
      <c r="X184" s="5">
        <f>fin_table[[#This Row],[Interest Rate]]*fin_table[[#This Row],[Loan Amount]]</f>
        <v>837.80396699999994</v>
      </c>
      <c r="Y184">
        <v>9</v>
      </c>
      <c r="Z184" s="3">
        <v>373</v>
      </c>
      <c r="AA184" s="3" t="str">
        <f t="shared" si="18"/>
        <v>Poor</v>
      </c>
      <c r="AB184" s="3" cm="1">
        <f t="array" ref="AB184">_xlfn.IFS(fin_table[[#This Row],[Transaction Status]]="Failed", 1, fin_table[[#This Row],[Transaction Status]]="Completed",0,fin_table[[#This Row],[Transaction Status]]="Pending",2)</f>
        <v>0</v>
      </c>
      <c r="AC184" s="3" t="str">
        <f>IF(fin_table[[#This Row],[Loan Defaulters]]=1,"Default", "Good")</f>
        <v>Good</v>
      </c>
      <c r="AD184" s="3">
        <f t="shared" si="19"/>
        <v>1</v>
      </c>
      <c r="AE184" s="4">
        <v>5059.2299999999996</v>
      </c>
      <c r="AF184" s="4" t="str">
        <f>IF(fin_table[[#This Row],[Monthly Income]]&lt;3000, "Low Income", IF(fin_table[[#This Row],[Monthly Income]]&lt;=5000, "Middle Income", "High Income"))</f>
        <v>High Income</v>
      </c>
      <c r="AG184" t="s">
        <v>45</v>
      </c>
      <c r="AH184" t="s">
        <v>3635</v>
      </c>
      <c r="AI184" t="str">
        <f t="shared" si="20"/>
        <v>Low-Risk</v>
      </c>
    </row>
    <row r="185" spans="1:35" x14ac:dyDescent="0.35">
      <c r="A185" t="s">
        <v>755</v>
      </c>
      <c r="B185" t="s">
        <v>756</v>
      </c>
      <c r="C185" t="s">
        <v>757</v>
      </c>
      <c r="D185" s="1">
        <v>44637</v>
      </c>
      <c r="E185" s="1" t="str">
        <f t="shared" si="14"/>
        <v>17</v>
      </c>
      <c r="F185" s="1" t="str">
        <f t="shared" si="15"/>
        <v>Mar</v>
      </c>
      <c r="G185" s="6" t="s">
        <v>23</v>
      </c>
      <c r="H185" s="5">
        <v>5949.59</v>
      </c>
      <c r="I185" s="5" t="str">
        <f>IF(fin_table[[#This Row],[Account Balance]]&lt;20000,"Active", "Not Active")</f>
        <v>Active</v>
      </c>
      <c r="J185" s="5">
        <v>9904.44</v>
      </c>
      <c r="K185" s="5" t="str">
        <f t="shared" si="16"/>
        <v>Low</v>
      </c>
      <c r="L185" s="6" t="s">
        <v>100</v>
      </c>
      <c r="M185">
        <v>59</v>
      </c>
      <c r="N185" s="6" t="str">
        <f t="shared" si="17"/>
        <v>Older Adults</v>
      </c>
      <c r="O185" s="6" t="s">
        <v>42</v>
      </c>
      <c r="P185" s="6" t="s">
        <v>26</v>
      </c>
      <c r="Q185" t="s">
        <v>493</v>
      </c>
      <c r="R185" s="6" t="s">
        <v>28</v>
      </c>
      <c r="S185" s="6" t="s">
        <v>62</v>
      </c>
      <c r="T185" s="14">
        <v>3.8199999999999998E-2</v>
      </c>
      <c r="U185">
        <v>3.82</v>
      </c>
      <c r="V185" t="str">
        <f>IF(fin_table[[#This Row],[Interest Rate(%)]]&gt;4,"high","low")</f>
        <v>low</v>
      </c>
      <c r="W185" s="5">
        <v>26681.654999999999</v>
      </c>
      <c r="X185" s="5">
        <f>fin_table[[#This Row],[Interest Rate]]*fin_table[[#This Row],[Loan Amount]]</f>
        <v>1019.2392209999999</v>
      </c>
      <c r="Y185">
        <v>13</v>
      </c>
      <c r="Z185" s="3">
        <v>304</v>
      </c>
      <c r="AA185" s="3" t="str">
        <f t="shared" si="18"/>
        <v>Poor</v>
      </c>
      <c r="AB185" s="3" cm="1">
        <f t="array" ref="AB185">_xlfn.IFS(fin_table[[#This Row],[Transaction Status]]="Failed", 1, fin_table[[#This Row],[Transaction Status]]="Completed",0,fin_table[[#This Row],[Transaction Status]]="Pending",2)</f>
        <v>2</v>
      </c>
      <c r="AC185" s="3" t="str">
        <f>IF(fin_table[[#This Row],[Loan Defaulters]]=1,"Default", "Good")</f>
        <v>Good</v>
      </c>
      <c r="AD185" s="3">
        <f t="shared" si="19"/>
        <v>1</v>
      </c>
      <c r="AE185" s="4">
        <v>9247.74</v>
      </c>
      <c r="AF185" s="4" t="str">
        <f>IF(fin_table[[#This Row],[Monthly Income]]&lt;3000, "Low Income", IF(fin_table[[#This Row],[Monthly Income]]&lt;=5000, "Middle Income", "High Income"))</f>
        <v>High Income</v>
      </c>
      <c r="AG185" t="s">
        <v>63</v>
      </c>
      <c r="AH185" t="s">
        <v>3635</v>
      </c>
      <c r="AI185" t="str">
        <f t="shared" si="20"/>
        <v>Low-Risk</v>
      </c>
    </row>
    <row r="186" spans="1:35" x14ac:dyDescent="0.35">
      <c r="A186" t="s">
        <v>758</v>
      </c>
      <c r="B186" t="s">
        <v>759</v>
      </c>
      <c r="C186" t="s">
        <v>760</v>
      </c>
      <c r="D186" s="1">
        <v>45114</v>
      </c>
      <c r="E186" s="1" t="str">
        <f t="shared" si="14"/>
        <v>07</v>
      </c>
      <c r="F186" s="1" t="str">
        <f t="shared" si="15"/>
        <v>Jul</v>
      </c>
      <c r="G186" s="6" t="s">
        <v>23</v>
      </c>
      <c r="H186" s="5">
        <v>5416.37</v>
      </c>
      <c r="I186" s="5" t="str">
        <f>IF(fin_table[[#This Row],[Account Balance]]&lt;20000,"Active", "Not Active")</f>
        <v>Not Active</v>
      </c>
      <c r="J186" s="5">
        <v>37411</v>
      </c>
      <c r="K186" s="5" t="str">
        <f t="shared" si="16"/>
        <v>Medium</v>
      </c>
      <c r="L186" s="6" t="s">
        <v>125</v>
      </c>
      <c r="M186">
        <v>38</v>
      </c>
      <c r="N186" s="6" t="str">
        <f t="shared" si="17"/>
        <v>Middle-Aged</v>
      </c>
      <c r="O186" s="6" t="s">
        <v>42</v>
      </c>
      <c r="P186" s="6" t="s">
        <v>36</v>
      </c>
      <c r="Q186" t="s">
        <v>761</v>
      </c>
      <c r="R186" s="6" t="s">
        <v>38</v>
      </c>
      <c r="S186" s="6" t="s">
        <v>62</v>
      </c>
      <c r="T186" s="14">
        <v>2.3599999999999999E-2</v>
      </c>
      <c r="U186">
        <v>2.36</v>
      </c>
      <c r="V186" t="str">
        <f>IF(fin_table[[#This Row],[Interest Rate(%)]]&gt;4,"high","low")</f>
        <v>low</v>
      </c>
      <c r="W186" s="5">
        <v>26681.654999999999</v>
      </c>
      <c r="X186" s="5">
        <f>fin_table[[#This Row],[Interest Rate]]*fin_table[[#This Row],[Loan Amount]]</f>
        <v>629.68705799999998</v>
      </c>
      <c r="Y186">
        <v>13</v>
      </c>
      <c r="Z186" s="3">
        <v>762</v>
      </c>
      <c r="AA186" s="3" t="str">
        <f t="shared" si="18"/>
        <v>Very Good</v>
      </c>
      <c r="AB186" s="3" cm="1">
        <f t="array" ref="AB186">_xlfn.IFS(fin_table[[#This Row],[Transaction Status]]="Failed", 1, fin_table[[#This Row],[Transaction Status]]="Completed",0,fin_table[[#This Row],[Transaction Status]]="Pending",2)</f>
        <v>2</v>
      </c>
      <c r="AC186" s="3" t="str">
        <f>IF(fin_table[[#This Row],[Loan Defaulters]]=1,"Default", "Good")</f>
        <v>Good</v>
      </c>
      <c r="AD186" s="3">
        <f t="shared" si="19"/>
        <v>4</v>
      </c>
      <c r="AE186" s="4">
        <v>14439.55</v>
      </c>
      <c r="AF186" s="4" t="str">
        <f>IF(fin_table[[#This Row],[Monthly Income]]&lt;3000, "Low Income", IF(fin_table[[#This Row],[Monthly Income]]&lt;=5000, "Middle Income", "High Income"))</f>
        <v>High Income</v>
      </c>
      <c r="AG186" t="s">
        <v>63</v>
      </c>
      <c r="AH186" t="s">
        <v>3635</v>
      </c>
      <c r="AI186" t="str">
        <f t="shared" si="20"/>
        <v>Low-Risk</v>
      </c>
    </row>
    <row r="187" spans="1:35" x14ac:dyDescent="0.35">
      <c r="A187" t="s">
        <v>762</v>
      </c>
      <c r="B187" t="s">
        <v>763</v>
      </c>
      <c r="C187" t="s">
        <v>764</v>
      </c>
      <c r="D187" s="1">
        <v>44961</v>
      </c>
      <c r="E187" s="1" t="str">
        <f t="shared" si="14"/>
        <v>04</v>
      </c>
      <c r="F187" s="1" t="str">
        <f t="shared" si="15"/>
        <v>Feb</v>
      </c>
      <c r="G187" s="6" t="s">
        <v>71</v>
      </c>
      <c r="H187" s="5">
        <v>8555.9500000000007</v>
      </c>
      <c r="I187" s="5" t="str">
        <f>IF(fin_table[[#This Row],[Account Balance]]&lt;20000,"Active", "Not Active")</f>
        <v>Not Active</v>
      </c>
      <c r="J187" s="5">
        <v>42548.47</v>
      </c>
      <c r="K187" s="5" t="str">
        <f t="shared" si="16"/>
        <v>Medium</v>
      </c>
      <c r="L187" s="6" t="s">
        <v>49</v>
      </c>
      <c r="M187">
        <v>39</v>
      </c>
      <c r="N187" s="6" t="str">
        <f t="shared" si="17"/>
        <v>Middle-Aged</v>
      </c>
      <c r="O187" s="6" t="s">
        <v>25</v>
      </c>
      <c r="P187" s="6" t="s">
        <v>36</v>
      </c>
      <c r="Q187" t="s">
        <v>765</v>
      </c>
      <c r="R187" s="6" t="s">
        <v>38</v>
      </c>
      <c r="S187" s="6" t="s">
        <v>62</v>
      </c>
      <c r="T187" s="14">
        <v>1.44E-2</v>
      </c>
      <c r="U187">
        <v>1.44</v>
      </c>
      <c r="V187" t="str">
        <f>IF(fin_table[[#This Row],[Interest Rate(%)]]&gt;4,"high","low")</f>
        <v>low</v>
      </c>
      <c r="W187" s="5">
        <v>7185.5</v>
      </c>
      <c r="X187" s="5">
        <f>fin_table[[#This Row],[Interest Rate]]*fin_table[[#This Row],[Loan Amount]]</f>
        <v>103.4712</v>
      </c>
      <c r="Y187">
        <v>13</v>
      </c>
      <c r="Z187" s="3">
        <v>381</v>
      </c>
      <c r="AA187" s="3" t="str">
        <f t="shared" si="18"/>
        <v>Poor</v>
      </c>
      <c r="AB187" s="3" cm="1">
        <f t="array" ref="AB187">_xlfn.IFS(fin_table[[#This Row],[Transaction Status]]="Failed", 1, fin_table[[#This Row],[Transaction Status]]="Completed",0,fin_table[[#This Row],[Transaction Status]]="Pending",2)</f>
        <v>2</v>
      </c>
      <c r="AC187" s="3" t="str">
        <f>IF(fin_table[[#This Row],[Loan Defaulters]]=1,"Default", "Good")</f>
        <v>Good</v>
      </c>
      <c r="AD187" s="3">
        <f t="shared" si="19"/>
        <v>1</v>
      </c>
      <c r="AE187" s="4">
        <v>13427.81</v>
      </c>
      <c r="AF187" s="4" t="str">
        <f>IF(fin_table[[#This Row],[Monthly Income]]&lt;3000, "Low Income", IF(fin_table[[#This Row],[Monthly Income]]&lt;=5000, "Middle Income", "High Income"))</f>
        <v>High Income</v>
      </c>
      <c r="AG187" t="s">
        <v>63</v>
      </c>
      <c r="AH187" t="s">
        <v>3636</v>
      </c>
      <c r="AI187" t="str">
        <f t="shared" si="20"/>
        <v>Low-Risk</v>
      </c>
    </row>
    <row r="188" spans="1:35" x14ac:dyDescent="0.35">
      <c r="A188" t="s">
        <v>766</v>
      </c>
      <c r="B188" t="s">
        <v>767</v>
      </c>
      <c r="C188" t="s">
        <v>768</v>
      </c>
      <c r="D188" s="1">
        <v>45055</v>
      </c>
      <c r="E188" s="1" t="str">
        <f t="shared" si="14"/>
        <v>09</v>
      </c>
      <c r="F188" s="1" t="str">
        <f t="shared" si="15"/>
        <v>May</v>
      </c>
      <c r="G188" s="6" t="s">
        <v>56</v>
      </c>
      <c r="H188" s="5">
        <v>590.02</v>
      </c>
      <c r="I188" s="5" t="str">
        <f>IF(fin_table[[#This Row],[Account Balance]]&lt;20000,"Active", "Not Active")</f>
        <v>Not Active</v>
      </c>
      <c r="J188" s="5">
        <v>27733.67</v>
      </c>
      <c r="K188" s="5" t="str">
        <f t="shared" si="16"/>
        <v>Medium</v>
      </c>
      <c r="L188" s="6" t="s">
        <v>125</v>
      </c>
      <c r="M188">
        <v>21</v>
      </c>
      <c r="N188" s="6" t="str">
        <f t="shared" si="17"/>
        <v>Young Adults</v>
      </c>
      <c r="O188" s="6" t="s">
        <v>42</v>
      </c>
      <c r="P188" s="6" t="s">
        <v>36</v>
      </c>
      <c r="Q188" t="s">
        <v>769</v>
      </c>
      <c r="R188" s="6" t="s">
        <v>52</v>
      </c>
      <c r="S188" s="6" t="s">
        <v>29</v>
      </c>
      <c r="T188" s="14">
        <v>2.1100000000000001E-2</v>
      </c>
      <c r="U188">
        <v>2.11</v>
      </c>
      <c r="V188" t="str">
        <f>IF(fin_table[[#This Row],[Interest Rate(%)]]&gt;4,"high","low")</f>
        <v>low</v>
      </c>
      <c r="W188" s="5">
        <v>32167.7</v>
      </c>
      <c r="X188" s="5">
        <f>fin_table[[#This Row],[Interest Rate]]*fin_table[[#This Row],[Loan Amount]]</f>
        <v>678.73847000000001</v>
      </c>
      <c r="Y188">
        <v>13</v>
      </c>
      <c r="Z188" s="3">
        <v>836</v>
      </c>
      <c r="AA188" s="3" t="str">
        <f t="shared" si="18"/>
        <v>Excellent</v>
      </c>
      <c r="AB188" s="3" cm="1">
        <f t="array" ref="AB188">_xlfn.IFS(fin_table[[#This Row],[Transaction Status]]="Failed", 1, fin_table[[#This Row],[Transaction Status]]="Completed",0,fin_table[[#This Row],[Transaction Status]]="Pending",2)</f>
        <v>1</v>
      </c>
      <c r="AC188" s="3" t="str">
        <f>IF(fin_table[[#This Row],[Loan Defaulters]]=1,"Default", "Good")</f>
        <v>Default</v>
      </c>
      <c r="AD188" s="3">
        <f t="shared" si="19"/>
        <v>5</v>
      </c>
      <c r="AE188" s="4">
        <v>7258.71</v>
      </c>
      <c r="AF188" s="4" t="str">
        <f>IF(fin_table[[#This Row],[Monthly Income]]&lt;3000, "Low Income", IF(fin_table[[#This Row],[Monthly Income]]&lt;=5000, "Middle Income", "High Income"))</f>
        <v>High Income</v>
      </c>
      <c r="AG188" t="s">
        <v>45</v>
      </c>
      <c r="AH188" t="s">
        <v>3636</v>
      </c>
      <c r="AI188" t="str">
        <f t="shared" si="20"/>
        <v>Low-Risk</v>
      </c>
    </row>
    <row r="189" spans="1:35" x14ac:dyDescent="0.35">
      <c r="A189" t="s">
        <v>770</v>
      </c>
      <c r="B189" t="s">
        <v>771</v>
      </c>
      <c r="C189" t="s">
        <v>772</v>
      </c>
      <c r="D189" s="1">
        <v>45148</v>
      </c>
      <c r="E189" s="1" t="str">
        <f t="shared" si="14"/>
        <v>10</v>
      </c>
      <c r="F189" s="1" t="str">
        <f t="shared" si="15"/>
        <v>Aug</v>
      </c>
      <c r="G189" s="6" t="s">
        <v>34</v>
      </c>
      <c r="H189" s="5">
        <v>8349.84</v>
      </c>
      <c r="I189" s="5" t="str">
        <f>IF(fin_table[[#This Row],[Account Balance]]&lt;20000,"Active", "Not Active")</f>
        <v>Not Active</v>
      </c>
      <c r="J189" s="5">
        <v>49103.66</v>
      </c>
      <c r="K189" s="5" t="str">
        <f t="shared" si="16"/>
        <v>Medium</v>
      </c>
      <c r="L189" s="6" t="s">
        <v>35</v>
      </c>
      <c r="M189">
        <v>35</v>
      </c>
      <c r="N189" s="6" t="str">
        <f t="shared" si="17"/>
        <v>Adults</v>
      </c>
      <c r="O189" s="6" t="s">
        <v>42</v>
      </c>
      <c r="P189" s="6" t="s">
        <v>26</v>
      </c>
      <c r="Q189" t="s">
        <v>773</v>
      </c>
      <c r="R189" s="6" t="s">
        <v>28</v>
      </c>
      <c r="S189" s="6" t="s">
        <v>29</v>
      </c>
      <c r="T189" s="14">
        <v>4.0899999999999999E-2</v>
      </c>
      <c r="U189">
        <v>4.09</v>
      </c>
      <c r="V189" t="str">
        <f>IF(fin_table[[#This Row],[Interest Rate(%)]]&gt;4,"high","low")</f>
        <v>high</v>
      </c>
      <c r="W189" s="5">
        <v>26681.654999999999</v>
      </c>
      <c r="X189" s="5">
        <f>fin_table[[#This Row],[Interest Rate]]*fin_table[[#This Row],[Loan Amount]]</f>
        <v>1091.2796894999999</v>
      </c>
      <c r="Y189">
        <v>13</v>
      </c>
      <c r="Z189" s="3">
        <v>704</v>
      </c>
      <c r="AA189" s="3" t="str">
        <f t="shared" si="18"/>
        <v>Good</v>
      </c>
      <c r="AB189" s="3" cm="1">
        <f t="array" ref="AB189">_xlfn.IFS(fin_table[[#This Row],[Transaction Status]]="Failed", 1, fin_table[[#This Row],[Transaction Status]]="Completed",0,fin_table[[#This Row],[Transaction Status]]="Pending",2)</f>
        <v>1</v>
      </c>
      <c r="AC189" s="3" t="str">
        <f>IF(fin_table[[#This Row],[Loan Defaulters]]=1,"Default", "Good")</f>
        <v>Default</v>
      </c>
      <c r="AD189" s="3">
        <f t="shared" si="19"/>
        <v>3</v>
      </c>
      <c r="AE189" s="4">
        <v>5789.68</v>
      </c>
      <c r="AF189" s="4" t="str">
        <f>IF(fin_table[[#This Row],[Monthly Income]]&lt;3000, "Low Income", IF(fin_table[[#This Row],[Monthly Income]]&lt;=5000, "Middle Income", "High Income"))</f>
        <v>High Income</v>
      </c>
      <c r="AG189" t="s">
        <v>63</v>
      </c>
      <c r="AH189" t="s">
        <v>3635</v>
      </c>
      <c r="AI189" t="str">
        <f t="shared" si="20"/>
        <v>Low-Risk</v>
      </c>
    </row>
    <row r="190" spans="1:35" x14ac:dyDescent="0.35">
      <c r="A190" t="s">
        <v>774</v>
      </c>
      <c r="B190" t="s">
        <v>775</v>
      </c>
      <c r="C190" t="s">
        <v>776</v>
      </c>
      <c r="D190" s="1">
        <v>44876</v>
      </c>
      <c r="E190" s="1" t="str">
        <f t="shared" si="14"/>
        <v>11</v>
      </c>
      <c r="F190" s="1" t="str">
        <f t="shared" si="15"/>
        <v>Nov</v>
      </c>
      <c r="G190" s="6" t="s">
        <v>23</v>
      </c>
      <c r="H190" s="5">
        <v>8454.85</v>
      </c>
      <c r="I190" s="5" t="str">
        <f>IF(fin_table[[#This Row],[Account Balance]]&lt;20000,"Active", "Not Active")</f>
        <v>Not Active</v>
      </c>
      <c r="J190" s="5">
        <v>23073.45</v>
      </c>
      <c r="K190" s="5" t="str">
        <f t="shared" si="16"/>
        <v>Medium</v>
      </c>
      <c r="L190" s="6" t="s">
        <v>24</v>
      </c>
      <c r="M190">
        <v>22</v>
      </c>
      <c r="N190" s="6" t="str">
        <f t="shared" si="17"/>
        <v>Young Adults</v>
      </c>
      <c r="O190" s="6" t="s">
        <v>42</v>
      </c>
      <c r="P190" s="6" t="s">
        <v>50</v>
      </c>
      <c r="Q190" t="s">
        <v>777</v>
      </c>
      <c r="R190" s="6" t="s">
        <v>38</v>
      </c>
      <c r="S190" s="6" t="s">
        <v>44</v>
      </c>
      <c r="T190" s="14">
        <v>2.4E-2</v>
      </c>
      <c r="U190">
        <v>2.4E-2</v>
      </c>
      <c r="V190" t="str">
        <f>IF(fin_table[[#This Row],[Interest Rate(%)]]&gt;4,"high","low")</f>
        <v>low</v>
      </c>
      <c r="W190" s="5">
        <v>26681.654999999999</v>
      </c>
      <c r="X190" s="5">
        <f>fin_table[[#This Row],[Interest Rate]]*fin_table[[#This Row],[Loan Amount]]</f>
        <v>640.35972000000004</v>
      </c>
      <c r="Y190">
        <v>23</v>
      </c>
      <c r="Z190" s="3">
        <v>813</v>
      </c>
      <c r="AA190" s="3" t="str">
        <f t="shared" si="18"/>
        <v>Excellent</v>
      </c>
      <c r="AB190" s="3" cm="1">
        <f t="array" ref="AB190">_xlfn.IFS(fin_table[[#This Row],[Transaction Status]]="Failed", 1, fin_table[[#This Row],[Transaction Status]]="Completed",0,fin_table[[#This Row],[Transaction Status]]="Pending",2)</f>
        <v>0</v>
      </c>
      <c r="AC190" s="3" t="str">
        <f>IF(fin_table[[#This Row],[Loan Defaulters]]=1,"Default", "Good")</f>
        <v>Good</v>
      </c>
      <c r="AD190" s="3">
        <f t="shared" si="19"/>
        <v>5</v>
      </c>
      <c r="AE190" s="4">
        <v>5047.2700000000004</v>
      </c>
      <c r="AF190" s="4" t="str">
        <f>IF(fin_table[[#This Row],[Monthly Income]]&lt;3000, "Low Income", IF(fin_table[[#This Row],[Monthly Income]]&lt;=5000, "Middle Income", "High Income"))</f>
        <v>High Income</v>
      </c>
      <c r="AG190" t="s">
        <v>45</v>
      </c>
      <c r="AH190" t="s">
        <v>3635</v>
      </c>
      <c r="AI190" t="str">
        <f t="shared" si="20"/>
        <v>Low-Risk</v>
      </c>
    </row>
    <row r="191" spans="1:35" x14ac:dyDescent="0.35">
      <c r="A191" t="s">
        <v>778</v>
      </c>
      <c r="B191" t="s">
        <v>779</v>
      </c>
      <c r="C191" t="s">
        <v>780</v>
      </c>
      <c r="D191" s="1">
        <v>44828</v>
      </c>
      <c r="E191" s="1" t="str">
        <f t="shared" si="14"/>
        <v>24</v>
      </c>
      <c r="F191" s="1" t="str">
        <f t="shared" si="15"/>
        <v>Sep</v>
      </c>
      <c r="G191" s="6" t="s">
        <v>34</v>
      </c>
      <c r="H191" s="5">
        <v>2920.59</v>
      </c>
      <c r="I191" s="5" t="str">
        <f>IF(fin_table[[#This Row],[Account Balance]]&lt;20000,"Active", "Not Active")</f>
        <v>Not Active</v>
      </c>
      <c r="J191" s="5">
        <v>26155.040000000001</v>
      </c>
      <c r="K191" s="5" t="str">
        <f t="shared" si="16"/>
        <v>Medium</v>
      </c>
      <c r="L191" s="6" t="s">
        <v>49</v>
      </c>
      <c r="M191">
        <v>36</v>
      </c>
      <c r="N191" s="6" t="str">
        <f t="shared" si="17"/>
        <v>Middle-Aged</v>
      </c>
      <c r="O191" s="6" t="s">
        <v>42</v>
      </c>
      <c r="P191" s="6" t="s">
        <v>26</v>
      </c>
      <c r="Q191" t="s">
        <v>781</v>
      </c>
      <c r="R191" s="6" t="s">
        <v>52</v>
      </c>
      <c r="S191" s="6" t="s">
        <v>62</v>
      </c>
      <c r="T191" s="14">
        <v>4.2500000000000003E-2</v>
      </c>
      <c r="U191">
        <v>4.25</v>
      </c>
      <c r="V191" t="str">
        <f>IF(fin_table[[#This Row],[Interest Rate(%)]]&gt;4,"high","low")</f>
        <v>high</v>
      </c>
      <c r="W191" s="5">
        <v>26681.654999999999</v>
      </c>
      <c r="X191" s="5">
        <f>fin_table[[#This Row],[Interest Rate]]*fin_table[[#This Row],[Loan Amount]]</f>
        <v>1133.9703375000001</v>
      </c>
      <c r="Y191">
        <v>11</v>
      </c>
      <c r="Z191" s="3">
        <v>577</v>
      </c>
      <c r="AA191" s="3" t="str">
        <f t="shared" si="18"/>
        <v>Poor</v>
      </c>
      <c r="AB191" s="3" cm="1">
        <f t="array" ref="AB191">_xlfn.IFS(fin_table[[#This Row],[Transaction Status]]="Failed", 1, fin_table[[#This Row],[Transaction Status]]="Completed",0,fin_table[[#This Row],[Transaction Status]]="Pending",2)</f>
        <v>2</v>
      </c>
      <c r="AC191" s="3" t="str">
        <f>IF(fin_table[[#This Row],[Loan Defaulters]]=1,"Default", "Good")</f>
        <v>Good</v>
      </c>
      <c r="AD191" s="3">
        <f t="shared" si="19"/>
        <v>1</v>
      </c>
      <c r="AE191" s="4">
        <v>8922.69</v>
      </c>
      <c r="AF191" s="4" t="str">
        <f>IF(fin_table[[#This Row],[Monthly Income]]&lt;3000, "Low Income", IF(fin_table[[#This Row],[Monthly Income]]&lt;=5000, "Middle Income", "High Income"))</f>
        <v>High Income</v>
      </c>
      <c r="AG191" t="s">
        <v>45</v>
      </c>
      <c r="AH191" t="s">
        <v>3635</v>
      </c>
      <c r="AI191" t="str">
        <f t="shared" si="20"/>
        <v>Low-Risk</v>
      </c>
    </row>
    <row r="192" spans="1:35" x14ac:dyDescent="0.35">
      <c r="A192" t="s">
        <v>782</v>
      </c>
      <c r="B192" t="s">
        <v>783</v>
      </c>
      <c r="C192" t="s">
        <v>784</v>
      </c>
      <c r="D192" s="1">
        <v>44942</v>
      </c>
      <c r="E192" s="1" t="str">
        <f t="shared" si="14"/>
        <v>16</v>
      </c>
      <c r="F192" s="1" t="str">
        <f t="shared" si="15"/>
        <v>Jan</v>
      </c>
      <c r="G192" s="6" t="s">
        <v>71</v>
      </c>
      <c r="H192" s="5">
        <v>4682.2299999999996</v>
      </c>
      <c r="I192" s="5" t="str">
        <f>IF(fin_table[[#This Row],[Account Balance]]&lt;20000,"Active", "Not Active")</f>
        <v>Not Active</v>
      </c>
      <c r="J192" s="5">
        <v>49471.67</v>
      </c>
      <c r="K192" s="5" t="str">
        <f t="shared" si="16"/>
        <v>Medium</v>
      </c>
      <c r="L192" s="6" t="s">
        <v>100</v>
      </c>
      <c r="M192">
        <v>19</v>
      </c>
      <c r="N192" s="6" t="str">
        <f t="shared" si="17"/>
        <v>Young Adults</v>
      </c>
      <c r="O192" s="6" t="s">
        <v>25</v>
      </c>
      <c r="P192" s="6" t="s">
        <v>36</v>
      </c>
      <c r="Q192" t="s">
        <v>785</v>
      </c>
      <c r="R192" s="6" t="s">
        <v>28</v>
      </c>
      <c r="S192" s="6" t="s">
        <v>44</v>
      </c>
      <c r="T192" s="14">
        <v>2.2800000000000001E-2</v>
      </c>
      <c r="U192">
        <v>2.2799999999999998</v>
      </c>
      <c r="V192" t="str">
        <f>IF(fin_table[[#This Row],[Interest Rate(%)]]&gt;4,"high","low")</f>
        <v>low</v>
      </c>
      <c r="W192" s="5">
        <v>26681.654999999999</v>
      </c>
      <c r="X192" s="5">
        <f>fin_table[[#This Row],[Interest Rate]]*fin_table[[#This Row],[Loan Amount]]</f>
        <v>608.34173399999997</v>
      </c>
      <c r="Y192">
        <v>13</v>
      </c>
      <c r="Z192" s="3">
        <v>523</v>
      </c>
      <c r="AA192" s="3" t="str">
        <f t="shared" si="18"/>
        <v>Poor</v>
      </c>
      <c r="AB192" s="3" cm="1">
        <f t="array" ref="AB192">_xlfn.IFS(fin_table[[#This Row],[Transaction Status]]="Failed", 1, fin_table[[#This Row],[Transaction Status]]="Completed",0,fin_table[[#This Row],[Transaction Status]]="Pending",2)</f>
        <v>0</v>
      </c>
      <c r="AC192" s="3" t="str">
        <f>IF(fin_table[[#This Row],[Loan Defaulters]]=1,"Default", "Good")</f>
        <v>Good</v>
      </c>
      <c r="AD192" s="3">
        <f t="shared" si="19"/>
        <v>1</v>
      </c>
      <c r="AE192" s="4">
        <v>3485.23</v>
      </c>
      <c r="AF192" s="4" t="str">
        <f>IF(fin_table[[#This Row],[Monthly Income]]&lt;3000, "Low Income", IF(fin_table[[#This Row],[Monthly Income]]&lt;=5000, "Middle Income", "High Income"))</f>
        <v>Middle Income</v>
      </c>
      <c r="AG192" t="s">
        <v>30</v>
      </c>
      <c r="AH192" t="s">
        <v>3635</v>
      </c>
      <c r="AI192" t="str">
        <f t="shared" si="20"/>
        <v>Low-Risk</v>
      </c>
    </row>
    <row r="193" spans="1:35" x14ac:dyDescent="0.35">
      <c r="A193" t="s">
        <v>786</v>
      </c>
      <c r="B193" t="s">
        <v>787</v>
      </c>
      <c r="C193" t="s">
        <v>788</v>
      </c>
      <c r="D193" s="1">
        <v>45073</v>
      </c>
      <c r="E193" s="1" t="str">
        <f t="shared" si="14"/>
        <v>27</v>
      </c>
      <c r="F193" s="1" t="str">
        <f t="shared" si="15"/>
        <v>May</v>
      </c>
      <c r="G193" s="6" t="s">
        <v>23</v>
      </c>
      <c r="H193" s="5">
        <v>4441.53</v>
      </c>
      <c r="I193" s="5" t="str">
        <f>IF(fin_table[[#This Row],[Account Balance]]&lt;20000,"Active", "Not Active")</f>
        <v>Active</v>
      </c>
      <c r="J193" s="5">
        <v>12345.87</v>
      </c>
      <c r="K193" s="5" t="str">
        <f t="shared" si="16"/>
        <v>Medium</v>
      </c>
      <c r="L193" s="6" t="s">
        <v>49</v>
      </c>
      <c r="M193">
        <v>29</v>
      </c>
      <c r="N193" s="6" t="str">
        <f t="shared" si="17"/>
        <v>Adults</v>
      </c>
      <c r="O193" s="6" t="s">
        <v>42</v>
      </c>
      <c r="P193" s="6" t="s">
        <v>50</v>
      </c>
      <c r="Q193" t="s">
        <v>505</v>
      </c>
      <c r="R193" s="6" t="s">
        <v>38</v>
      </c>
      <c r="S193" s="6" t="s">
        <v>29</v>
      </c>
      <c r="T193" s="14">
        <v>1.6500000000000001E-2</v>
      </c>
      <c r="U193">
        <v>1.65</v>
      </c>
      <c r="V193" t="str">
        <f>IF(fin_table[[#This Row],[Interest Rate(%)]]&gt;4,"high","low")</f>
        <v>low</v>
      </c>
      <c r="W193" s="5">
        <v>26681.654999999999</v>
      </c>
      <c r="X193" s="5">
        <f>fin_table[[#This Row],[Interest Rate]]*fin_table[[#This Row],[Loan Amount]]</f>
        <v>440.24730749999998</v>
      </c>
      <c r="Y193">
        <v>13</v>
      </c>
      <c r="Z193" s="3">
        <v>367</v>
      </c>
      <c r="AA193" s="3" t="str">
        <f t="shared" si="18"/>
        <v>Poor</v>
      </c>
      <c r="AB193" s="3" cm="1">
        <f t="array" ref="AB193">_xlfn.IFS(fin_table[[#This Row],[Transaction Status]]="Failed", 1, fin_table[[#This Row],[Transaction Status]]="Completed",0,fin_table[[#This Row],[Transaction Status]]="Pending",2)</f>
        <v>1</v>
      </c>
      <c r="AC193" s="3" t="str">
        <f>IF(fin_table[[#This Row],[Loan Defaulters]]=1,"Default", "Good")</f>
        <v>Default</v>
      </c>
      <c r="AD193" s="3">
        <f t="shared" si="19"/>
        <v>1</v>
      </c>
      <c r="AE193" s="4">
        <v>9140.58</v>
      </c>
      <c r="AF193" s="4" t="str">
        <f>IF(fin_table[[#This Row],[Monthly Income]]&lt;3000, "Low Income", IF(fin_table[[#This Row],[Monthly Income]]&lt;=5000, "Middle Income", "High Income"))</f>
        <v>High Income</v>
      </c>
      <c r="AG193" t="s">
        <v>45</v>
      </c>
      <c r="AH193" t="s">
        <v>3635</v>
      </c>
      <c r="AI193" t="str">
        <f t="shared" si="20"/>
        <v>Low-Risk</v>
      </c>
    </row>
    <row r="194" spans="1:35" x14ac:dyDescent="0.35">
      <c r="A194" t="s">
        <v>789</v>
      </c>
      <c r="B194" t="s">
        <v>790</v>
      </c>
      <c r="C194" t="s">
        <v>791</v>
      </c>
      <c r="D194" s="1">
        <v>44952</v>
      </c>
      <c r="E194" s="1" t="str">
        <f t="shared" ref="E194:E257" si="21">TEXT(D194, "DD")</f>
        <v>26</v>
      </c>
      <c r="F194" s="1" t="str">
        <f t="shared" ref="F194:F257" si="22">TEXT(D194, "MMM")</f>
        <v>Jan</v>
      </c>
      <c r="G194" s="6" t="s">
        <v>56</v>
      </c>
      <c r="H194" s="5">
        <v>2263.25</v>
      </c>
      <c r="I194" s="5" t="str">
        <f>IF(fin_table[[#This Row],[Account Balance]]&lt;20000,"Active", "Not Active")</f>
        <v>Not Active</v>
      </c>
      <c r="J194" s="5">
        <v>47184.75</v>
      </c>
      <c r="K194" s="5" t="str">
        <f t="shared" ref="K194:K257" si="23">IF(J194&lt;10000, "Low", IF(J194&lt;50000, "Medium", "High"))</f>
        <v>Medium</v>
      </c>
      <c r="L194" s="6" t="s">
        <v>100</v>
      </c>
      <c r="M194">
        <v>34</v>
      </c>
      <c r="N194" s="6" t="str">
        <f t="shared" ref="N194:N257" si="24">IF(M194&lt;18, "Teenagers", IF(M194&lt;=25, "Young Adults", IF(M194&lt;=35, "Adults", IF(M194&lt;=45, "Middle-Aged", IF(M194&lt;=60, "Older Adults", "Seniors")))))</f>
        <v>Adults</v>
      </c>
      <c r="O194" s="6" t="s">
        <v>25</v>
      </c>
      <c r="P194" s="6" t="s">
        <v>50</v>
      </c>
      <c r="Q194" t="s">
        <v>792</v>
      </c>
      <c r="R194" s="6" t="s">
        <v>38</v>
      </c>
      <c r="S194" s="6" t="s">
        <v>29</v>
      </c>
      <c r="T194" s="14">
        <v>2.7400000000000001E-2</v>
      </c>
      <c r="U194">
        <v>2.74</v>
      </c>
      <c r="V194" t="str">
        <f>IF(fin_table[[#This Row],[Interest Rate(%)]]&gt;4,"high","low")</f>
        <v>low</v>
      </c>
      <c r="W194" s="5">
        <v>35024.6</v>
      </c>
      <c r="X194" s="5">
        <f>fin_table[[#This Row],[Interest Rate]]*fin_table[[#This Row],[Loan Amount]]</f>
        <v>959.67403999999999</v>
      </c>
      <c r="Y194">
        <v>13</v>
      </c>
      <c r="Z194" s="3">
        <v>619</v>
      </c>
      <c r="AA194" s="3" t="str">
        <f t="shared" ref="AA194:AA257" si="25">IF(Z194&lt;580, "Poor", IF(Z194&lt;670, "Fair", IF(Z194&lt;740, "Good", IF(Z194&lt;800, "Very Good", "Excellent"))))</f>
        <v>Fair</v>
      </c>
      <c r="AB194" s="3" cm="1">
        <f t="array" ref="AB194">_xlfn.IFS(fin_table[[#This Row],[Transaction Status]]="Failed", 1, fin_table[[#This Row],[Transaction Status]]="Completed",0,fin_table[[#This Row],[Transaction Status]]="Pending",2)</f>
        <v>1</v>
      </c>
      <c r="AC194" s="3" t="str">
        <f>IF(fin_table[[#This Row],[Loan Defaulters]]=1,"Default", "Good")</f>
        <v>Default</v>
      </c>
      <c r="AD194" s="3">
        <f t="shared" ref="AD194:AD257" si="26">IF(AA194="Poor", 1, IF(AA194="Fair", 2, IF(AA194="Good", 3, IF(AA194="Very Good", 4, IF(AA194="Excellent", 5, "")))))</f>
        <v>2</v>
      </c>
      <c r="AE194" s="4">
        <v>2017.34</v>
      </c>
      <c r="AF194" s="4" t="str">
        <f>IF(fin_table[[#This Row],[Monthly Income]]&lt;3000, "Low Income", IF(fin_table[[#This Row],[Monthly Income]]&lt;=5000, "Middle Income", "High Income"))</f>
        <v>Low Income</v>
      </c>
      <c r="AG194" t="s">
        <v>45</v>
      </c>
      <c r="AH194" t="s">
        <v>3636</v>
      </c>
      <c r="AI194" t="str">
        <f t="shared" ref="AI194:AI257" si="27">IF(AND(W194&gt;33000, Z194&lt;600), "High-Risk", "Low-Risk")</f>
        <v>Low-Risk</v>
      </c>
    </row>
    <row r="195" spans="1:35" x14ac:dyDescent="0.35">
      <c r="A195" t="s">
        <v>793</v>
      </c>
      <c r="B195" t="s">
        <v>794</v>
      </c>
      <c r="C195" t="s">
        <v>795</v>
      </c>
      <c r="D195" s="1">
        <v>45026</v>
      </c>
      <c r="E195" s="1" t="str">
        <f t="shared" si="21"/>
        <v>10</v>
      </c>
      <c r="F195" s="1" t="str">
        <f t="shared" si="22"/>
        <v>Apr</v>
      </c>
      <c r="G195" s="6" t="s">
        <v>34</v>
      </c>
      <c r="H195" s="5">
        <v>4028.29</v>
      </c>
      <c r="I195" s="5" t="str">
        <f>IF(fin_table[[#This Row],[Account Balance]]&lt;20000,"Active", "Not Active")</f>
        <v>Active</v>
      </c>
      <c r="J195" s="5">
        <v>3099.04</v>
      </c>
      <c r="K195" s="5" t="str">
        <f t="shared" si="23"/>
        <v>Low</v>
      </c>
      <c r="L195" s="6" t="s">
        <v>49</v>
      </c>
      <c r="M195">
        <v>27</v>
      </c>
      <c r="N195" s="6" t="str">
        <f t="shared" si="24"/>
        <v>Adults</v>
      </c>
      <c r="O195" s="6" t="s">
        <v>42</v>
      </c>
      <c r="P195" s="6" t="s">
        <v>26</v>
      </c>
      <c r="Q195" t="s">
        <v>796</v>
      </c>
      <c r="R195" s="6" t="s">
        <v>52</v>
      </c>
      <c r="S195" s="6" t="s">
        <v>29</v>
      </c>
      <c r="T195" s="14">
        <v>2.81E-2</v>
      </c>
      <c r="U195">
        <v>2.81</v>
      </c>
      <c r="V195" t="str">
        <f>IF(fin_table[[#This Row],[Interest Rate(%)]]&gt;4,"high","low")</f>
        <v>low</v>
      </c>
      <c r="W195" s="5">
        <v>49614.43</v>
      </c>
      <c r="X195" s="5">
        <f>fin_table[[#This Row],[Interest Rate]]*fin_table[[#This Row],[Loan Amount]]</f>
        <v>1394.165483</v>
      </c>
      <c r="Y195">
        <v>13</v>
      </c>
      <c r="Z195" s="3">
        <v>318</v>
      </c>
      <c r="AA195" s="3" t="str">
        <f t="shared" si="25"/>
        <v>Poor</v>
      </c>
      <c r="AB195" s="3" cm="1">
        <f t="array" ref="AB195">_xlfn.IFS(fin_table[[#This Row],[Transaction Status]]="Failed", 1, fin_table[[#This Row],[Transaction Status]]="Completed",0,fin_table[[#This Row],[Transaction Status]]="Pending",2)</f>
        <v>1</v>
      </c>
      <c r="AC195" s="3" t="str">
        <f>IF(fin_table[[#This Row],[Loan Defaulters]]=1,"Default", "Good")</f>
        <v>Default</v>
      </c>
      <c r="AD195" s="3">
        <f t="shared" si="26"/>
        <v>1</v>
      </c>
      <c r="AE195" s="4">
        <v>6210.05</v>
      </c>
      <c r="AF195" s="4" t="str">
        <f>IF(fin_table[[#This Row],[Monthly Income]]&lt;3000, "Low Income", IF(fin_table[[#This Row],[Monthly Income]]&lt;=5000, "Middle Income", "High Income"))</f>
        <v>High Income</v>
      </c>
      <c r="AG195" t="s">
        <v>63</v>
      </c>
      <c r="AH195" t="s">
        <v>3636</v>
      </c>
      <c r="AI195" t="str">
        <f t="shared" si="27"/>
        <v>High-Risk</v>
      </c>
    </row>
    <row r="196" spans="1:35" x14ac:dyDescent="0.35">
      <c r="A196" t="s">
        <v>797</v>
      </c>
      <c r="B196" t="s">
        <v>798</v>
      </c>
      <c r="C196" t="s">
        <v>799</v>
      </c>
      <c r="D196" s="1">
        <v>44750</v>
      </c>
      <c r="E196" s="1" t="str">
        <f t="shared" si="21"/>
        <v>08</v>
      </c>
      <c r="F196" s="1" t="str">
        <f t="shared" si="22"/>
        <v>Jul</v>
      </c>
      <c r="G196" s="6" t="s">
        <v>23</v>
      </c>
      <c r="H196" s="5">
        <v>539.44000000000005</v>
      </c>
      <c r="I196" s="5" t="str">
        <f>IF(fin_table[[#This Row],[Account Balance]]&lt;20000,"Active", "Not Active")</f>
        <v>Not Active</v>
      </c>
      <c r="J196" s="5">
        <v>22872.959999999999</v>
      </c>
      <c r="K196" s="5" t="str">
        <f t="shared" si="23"/>
        <v>Medium</v>
      </c>
      <c r="L196" s="6" t="s">
        <v>100</v>
      </c>
      <c r="M196">
        <v>51</v>
      </c>
      <c r="N196" s="6" t="str">
        <f t="shared" si="24"/>
        <v>Older Adults</v>
      </c>
      <c r="O196" s="6" t="s">
        <v>25</v>
      </c>
      <c r="P196" s="6" t="s">
        <v>50</v>
      </c>
      <c r="Q196" t="s">
        <v>162</v>
      </c>
      <c r="R196" s="6" t="s">
        <v>28</v>
      </c>
      <c r="S196" s="6" t="s">
        <v>44</v>
      </c>
      <c r="T196" s="14">
        <v>1.06E-2</v>
      </c>
      <c r="U196">
        <v>1.06</v>
      </c>
      <c r="V196" t="str">
        <f>IF(fin_table[[#This Row],[Interest Rate(%)]]&gt;4,"high","low")</f>
        <v>low</v>
      </c>
      <c r="W196" s="5">
        <v>37094.86</v>
      </c>
      <c r="X196" s="5">
        <f>fin_table[[#This Row],[Interest Rate]]*fin_table[[#This Row],[Loan Amount]]</f>
        <v>393.20551599999999</v>
      </c>
      <c r="Y196">
        <v>17</v>
      </c>
      <c r="Z196" s="3">
        <v>642</v>
      </c>
      <c r="AA196" s="3" t="str">
        <f t="shared" si="25"/>
        <v>Fair</v>
      </c>
      <c r="AB196" s="3" cm="1">
        <f t="array" ref="AB196">_xlfn.IFS(fin_table[[#This Row],[Transaction Status]]="Failed", 1, fin_table[[#This Row],[Transaction Status]]="Completed",0,fin_table[[#This Row],[Transaction Status]]="Pending",2)</f>
        <v>0</v>
      </c>
      <c r="AC196" s="3" t="str">
        <f>IF(fin_table[[#This Row],[Loan Defaulters]]=1,"Default", "Good")</f>
        <v>Good</v>
      </c>
      <c r="AD196" s="3">
        <f t="shared" si="26"/>
        <v>2</v>
      </c>
      <c r="AE196" s="4">
        <v>4859.1499999999996</v>
      </c>
      <c r="AF196" s="4" t="str">
        <f>IF(fin_table[[#This Row],[Monthly Income]]&lt;3000, "Low Income", IF(fin_table[[#This Row],[Monthly Income]]&lt;=5000, "Middle Income", "High Income"))</f>
        <v>Middle Income</v>
      </c>
      <c r="AG196" t="s">
        <v>45</v>
      </c>
      <c r="AH196" t="s">
        <v>3636</v>
      </c>
      <c r="AI196" t="str">
        <f t="shared" si="27"/>
        <v>Low-Risk</v>
      </c>
    </row>
    <row r="197" spans="1:35" x14ac:dyDescent="0.35">
      <c r="A197" t="s">
        <v>800</v>
      </c>
      <c r="B197" t="s">
        <v>801</v>
      </c>
      <c r="C197" t="s">
        <v>802</v>
      </c>
      <c r="D197" s="1">
        <v>44721</v>
      </c>
      <c r="E197" s="1" t="str">
        <f t="shared" si="21"/>
        <v>09</v>
      </c>
      <c r="F197" s="1" t="str">
        <f t="shared" si="22"/>
        <v>Jun</v>
      </c>
      <c r="G197" s="6" t="s">
        <v>71</v>
      </c>
      <c r="H197" s="5">
        <v>2850.44</v>
      </c>
      <c r="I197" s="5" t="str">
        <f>IF(fin_table[[#This Row],[Account Balance]]&lt;20000,"Active", "Not Active")</f>
        <v>Active</v>
      </c>
      <c r="J197" s="5">
        <v>4430.17</v>
      </c>
      <c r="K197" s="5" t="str">
        <f t="shared" si="23"/>
        <v>Low</v>
      </c>
      <c r="L197" s="6" t="s">
        <v>100</v>
      </c>
      <c r="M197">
        <v>23</v>
      </c>
      <c r="N197" s="6" t="str">
        <f t="shared" si="24"/>
        <v>Young Adults</v>
      </c>
      <c r="O197" s="6" t="s">
        <v>25</v>
      </c>
      <c r="P197" s="6" t="s">
        <v>50</v>
      </c>
      <c r="Q197" t="s">
        <v>803</v>
      </c>
      <c r="R197" s="6" t="s">
        <v>28</v>
      </c>
      <c r="S197" s="6" t="s">
        <v>29</v>
      </c>
      <c r="T197" s="14">
        <v>1.47E-2</v>
      </c>
      <c r="U197">
        <v>1.47</v>
      </c>
      <c r="V197" t="str">
        <f>IF(fin_table[[#This Row],[Interest Rate(%)]]&gt;4,"high","low")</f>
        <v>low</v>
      </c>
      <c r="W197" s="5">
        <v>26681.654999999999</v>
      </c>
      <c r="X197" s="5">
        <f>fin_table[[#This Row],[Interest Rate]]*fin_table[[#This Row],[Loan Amount]]</f>
        <v>392.22032849999999</v>
      </c>
      <c r="Y197">
        <v>7</v>
      </c>
      <c r="Z197" s="3">
        <v>642</v>
      </c>
      <c r="AA197" s="3" t="str">
        <f t="shared" si="25"/>
        <v>Fair</v>
      </c>
      <c r="AB197" s="3" cm="1">
        <f t="array" ref="AB197">_xlfn.IFS(fin_table[[#This Row],[Transaction Status]]="Failed", 1, fin_table[[#This Row],[Transaction Status]]="Completed",0,fin_table[[#This Row],[Transaction Status]]="Pending",2)</f>
        <v>1</v>
      </c>
      <c r="AC197" s="3" t="str">
        <f>IF(fin_table[[#This Row],[Loan Defaulters]]=1,"Default", "Good")</f>
        <v>Default</v>
      </c>
      <c r="AD197" s="3">
        <f t="shared" si="26"/>
        <v>2</v>
      </c>
      <c r="AE197" s="4">
        <v>14625.84</v>
      </c>
      <c r="AF197" s="4" t="str">
        <f>IF(fin_table[[#This Row],[Monthly Income]]&lt;3000, "Low Income", IF(fin_table[[#This Row],[Monthly Income]]&lt;=5000, "Middle Income", "High Income"))</f>
        <v>High Income</v>
      </c>
      <c r="AG197" t="s">
        <v>45</v>
      </c>
      <c r="AH197" t="s">
        <v>3635</v>
      </c>
      <c r="AI197" t="str">
        <f t="shared" si="27"/>
        <v>Low-Risk</v>
      </c>
    </row>
    <row r="198" spans="1:35" x14ac:dyDescent="0.35">
      <c r="A198" t="s">
        <v>804</v>
      </c>
      <c r="B198" t="s">
        <v>805</v>
      </c>
      <c r="C198" t="s">
        <v>806</v>
      </c>
      <c r="D198" s="1">
        <v>44714</v>
      </c>
      <c r="E198" s="1" t="str">
        <f t="shared" si="21"/>
        <v>02</v>
      </c>
      <c r="F198" s="1" t="str">
        <f t="shared" si="22"/>
        <v>Jun</v>
      </c>
      <c r="G198" s="6" t="s">
        <v>56</v>
      </c>
      <c r="H198" s="5">
        <v>8185.15</v>
      </c>
      <c r="I198" s="5" t="str">
        <f>IF(fin_table[[#This Row],[Account Balance]]&lt;20000,"Active", "Not Active")</f>
        <v>Not Active</v>
      </c>
      <c r="J198" s="5">
        <v>36732.5</v>
      </c>
      <c r="K198" s="5" t="str">
        <f t="shared" si="23"/>
        <v>Medium</v>
      </c>
      <c r="L198" s="6" t="s">
        <v>49</v>
      </c>
      <c r="M198">
        <v>25</v>
      </c>
      <c r="N198" s="6" t="str">
        <f t="shared" si="24"/>
        <v>Young Adults</v>
      </c>
      <c r="O198" s="6" t="s">
        <v>25</v>
      </c>
      <c r="P198" s="6" t="s">
        <v>36</v>
      </c>
      <c r="Q198" t="s">
        <v>72</v>
      </c>
      <c r="R198" s="6" t="s">
        <v>38</v>
      </c>
      <c r="S198" s="6" t="s">
        <v>62</v>
      </c>
      <c r="T198" s="14">
        <v>1.7399999999999999E-2</v>
      </c>
      <c r="U198">
        <v>1.74</v>
      </c>
      <c r="V198" t="str">
        <f>IF(fin_table[[#This Row],[Interest Rate(%)]]&gt;4,"high","low")</f>
        <v>low</v>
      </c>
      <c r="W198" s="5">
        <v>26681.654999999999</v>
      </c>
      <c r="X198" s="5">
        <f>fin_table[[#This Row],[Interest Rate]]*fin_table[[#This Row],[Loan Amount]]</f>
        <v>464.26079699999997</v>
      </c>
      <c r="Y198">
        <v>13</v>
      </c>
      <c r="Z198" s="3">
        <v>396</v>
      </c>
      <c r="AA198" s="3" t="str">
        <f t="shared" si="25"/>
        <v>Poor</v>
      </c>
      <c r="AB198" s="3" cm="1">
        <f t="array" ref="AB198">_xlfn.IFS(fin_table[[#This Row],[Transaction Status]]="Failed", 1, fin_table[[#This Row],[Transaction Status]]="Completed",0,fin_table[[#This Row],[Transaction Status]]="Pending",2)</f>
        <v>2</v>
      </c>
      <c r="AC198" s="3" t="str">
        <f>IF(fin_table[[#This Row],[Loan Defaulters]]=1,"Default", "Good")</f>
        <v>Good</v>
      </c>
      <c r="AD198" s="3">
        <f t="shared" si="26"/>
        <v>1</v>
      </c>
      <c r="AE198" s="4">
        <v>11454.15</v>
      </c>
      <c r="AF198" s="4" t="str">
        <f>IF(fin_table[[#This Row],[Monthly Income]]&lt;3000, "Low Income", IF(fin_table[[#This Row],[Monthly Income]]&lt;=5000, "Middle Income", "High Income"))</f>
        <v>High Income</v>
      </c>
      <c r="AG198" t="s">
        <v>30</v>
      </c>
      <c r="AH198" t="s">
        <v>3635</v>
      </c>
      <c r="AI198" t="str">
        <f t="shared" si="27"/>
        <v>Low-Risk</v>
      </c>
    </row>
    <row r="199" spans="1:35" x14ac:dyDescent="0.35">
      <c r="A199" t="s">
        <v>807</v>
      </c>
      <c r="B199" t="s">
        <v>808</v>
      </c>
      <c r="C199" t="s">
        <v>809</v>
      </c>
      <c r="D199" s="1">
        <v>44983</v>
      </c>
      <c r="E199" s="1" t="str">
        <f t="shared" si="21"/>
        <v>26</v>
      </c>
      <c r="F199" s="1" t="str">
        <f t="shared" si="22"/>
        <v>Feb</v>
      </c>
      <c r="G199" s="6" t="s">
        <v>34</v>
      </c>
      <c r="H199" s="5">
        <v>2917.17</v>
      </c>
      <c r="I199" s="5" t="str">
        <f>IF(fin_table[[#This Row],[Account Balance]]&lt;20000,"Active", "Not Active")</f>
        <v>Not Active</v>
      </c>
      <c r="J199" s="5">
        <v>30812.04</v>
      </c>
      <c r="K199" s="5" t="str">
        <f t="shared" si="23"/>
        <v>Medium</v>
      </c>
      <c r="L199" s="6" t="s">
        <v>49</v>
      </c>
      <c r="M199">
        <v>68</v>
      </c>
      <c r="N199" s="6" t="str">
        <f t="shared" si="24"/>
        <v>Seniors</v>
      </c>
      <c r="O199" s="6" t="s">
        <v>42</v>
      </c>
      <c r="P199" s="6" t="s">
        <v>36</v>
      </c>
      <c r="Q199" t="s">
        <v>810</v>
      </c>
      <c r="R199" s="6" t="s">
        <v>28</v>
      </c>
      <c r="S199" s="6" t="s">
        <v>44</v>
      </c>
      <c r="T199" s="14">
        <v>1.4500000000000001E-2</v>
      </c>
      <c r="U199">
        <v>1.45</v>
      </c>
      <c r="V199" t="str">
        <f>IF(fin_table[[#This Row],[Interest Rate(%)]]&gt;4,"high","low")</f>
        <v>low</v>
      </c>
      <c r="W199" s="5">
        <v>35049.980000000003</v>
      </c>
      <c r="X199" s="5">
        <f>fin_table[[#This Row],[Interest Rate]]*fin_table[[#This Row],[Loan Amount]]</f>
        <v>508.22471000000007</v>
      </c>
      <c r="Y199">
        <v>13</v>
      </c>
      <c r="Z199" s="3">
        <v>351</v>
      </c>
      <c r="AA199" s="3" t="str">
        <f t="shared" si="25"/>
        <v>Poor</v>
      </c>
      <c r="AB199" s="3" cm="1">
        <f t="array" ref="AB199">_xlfn.IFS(fin_table[[#This Row],[Transaction Status]]="Failed", 1, fin_table[[#This Row],[Transaction Status]]="Completed",0,fin_table[[#This Row],[Transaction Status]]="Pending",2)</f>
        <v>0</v>
      </c>
      <c r="AC199" s="3" t="str">
        <f>IF(fin_table[[#This Row],[Loan Defaulters]]=1,"Default", "Good")</f>
        <v>Good</v>
      </c>
      <c r="AD199" s="3">
        <f t="shared" si="26"/>
        <v>1</v>
      </c>
      <c r="AE199" s="4">
        <v>6545.49</v>
      </c>
      <c r="AF199" s="4" t="str">
        <f>IF(fin_table[[#This Row],[Monthly Income]]&lt;3000, "Low Income", IF(fin_table[[#This Row],[Monthly Income]]&lt;=5000, "Middle Income", "High Income"))</f>
        <v>High Income</v>
      </c>
      <c r="AG199" t="s">
        <v>30</v>
      </c>
      <c r="AH199" t="s">
        <v>3636</v>
      </c>
      <c r="AI199" t="str">
        <f t="shared" si="27"/>
        <v>High-Risk</v>
      </c>
    </row>
    <row r="200" spans="1:35" x14ac:dyDescent="0.35">
      <c r="A200" t="s">
        <v>811</v>
      </c>
      <c r="B200" t="s">
        <v>812</v>
      </c>
      <c r="C200" t="s">
        <v>813</v>
      </c>
      <c r="D200" s="1">
        <v>44622</v>
      </c>
      <c r="E200" s="1" t="str">
        <f t="shared" si="21"/>
        <v>02</v>
      </c>
      <c r="F200" s="1" t="str">
        <f t="shared" si="22"/>
        <v>Mar</v>
      </c>
      <c r="G200" s="6" t="s">
        <v>34</v>
      </c>
      <c r="H200" s="5">
        <v>8200.25</v>
      </c>
      <c r="I200" s="5" t="str">
        <f>IF(fin_table[[#This Row],[Account Balance]]&lt;20000,"Active", "Not Active")</f>
        <v>Not Active</v>
      </c>
      <c r="J200" s="5">
        <v>35625.08</v>
      </c>
      <c r="K200" s="5" t="str">
        <f t="shared" si="23"/>
        <v>Medium</v>
      </c>
      <c r="L200" s="6" t="s">
        <v>100</v>
      </c>
      <c r="M200">
        <v>28</v>
      </c>
      <c r="N200" s="6" t="str">
        <f t="shared" si="24"/>
        <v>Adults</v>
      </c>
      <c r="O200" s="6" t="s">
        <v>25</v>
      </c>
      <c r="P200" s="6" t="s">
        <v>50</v>
      </c>
      <c r="Q200" t="s">
        <v>814</v>
      </c>
      <c r="R200" s="6" t="s">
        <v>52</v>
      </c>
      <c r="S200" s="6" t="s">
        <v>29</v>
      </c>
      <c r="T200" s="14">
        <v>2.3699999999999999E-2</v>
      </c>
      <c r="U200">
        <v>2.37</v>
      </c>
      <c r="V200" t="str">
        <f>IF(fin_table[[#This Row],[Interest Rate(%)]]&gt;4,"high","low")</f>
        <v>low</v>
      </c>
      <c r="W200" s="5">
        <v>7670.22</v>
      </c>
      <c r="X200" s="5">
        <f>fin_table[[#This Row],[Interest Rate]]*fin_table[[#This Row],[Loan Amount]]</f>
        <v>181.78421399999999</v>
      </c>
      <c r="Y200">
        <v>13</v>
      </c>
      <c r="Z200" s="3">
        <v>474</v>
      </c>
      <c r="AA200" s="3" t="str">
        <f t="shared" si="25"/>
        <v>Poor</v>
      </c>
      <c r="AB200" s="3" cm="1">
        <f t="array" ref="AB200">_xlfn.IFS(fin_table[[#This Row],[Transaction Status]]="Failed", 1, fin_table[[#This Row],[Transaction Status]]="Completed",0,fin_table[[#This Row],[Transaction Status]]="Pending",2)</f>
        <v>1</v>
      </c>
      <c r="AC200" s="3" t="str">
        <f>IF(fin_table[[#This Row],[Loan Defaulters]]=1,"Default", "Good")</f>
        <v>Default</v>
      </c>
      <c r="AD200" s="3">
        <f t="shared" si="26"/>
        <v>1</v>
      </c>
      <c r="AE200" s="4">
        <v>3206.99</v>
      </c>
      <c r="AF200" s="4" t="str">
        <f>IF(fin_table[[#This Row],[Monthly Income]]&lt;3000, "Low Income", IF(fin_table[[#This Row],[Monthly Income]]&lt;=5000, "Middle Income", "High Income"))</f>
        <v>Middle Income</v>
      </c>
      <c r="AG200" t="s">
        <v>63</v>
      </c>
      <c r="AH200" t="s">
        <v>3636</v>
      </c>
      <c r="AI200" t="str">
        <f t="shared" si="27"/>
        <v>Low-Risk</v>
      </c>
    </row>
    <row r="201" spans="1:35" x14ac:dyDescent="0.35">
      <c r="A201" t="s">
        <v>815</v>
      </c>
      <c r="B201" t="s">
        <v>816</v>
      </c>
      <c r="C201" t="s">
        <v>817</v>
      </c>
      <c r="D201" s="1">
        <v>44762</v>
      </c>
      <c r="E201" s="1" t="str">
        <f t="shared" si="21"/>
        <v>20</v>
      </c>
      <c r="F201" s="1" t="str">
        <f t="shared" si="22"/>
        <v>Jul</v>
      </c>
      <c r="G201" s="6" t="s">
        <v>23</v>
      </c>
      <c r="H201" s="5">
        <v>5362.83</v>
      </c>
      <c r="I201" s="5" t="str">
        <f>IF(fin_table[[#This Row],[Account Balance]]&lt;20000,"Active", "Not Active")</f>
        <v>Active</v>
      </c>
      <c r="J201" s="5">
        <v>19349.54</v>
      </c>
      <c r="K201" s="5" t="str">
        <f t="shared" si="23"/>
        <v>Medium</v>
      </c>
      <c r="L201" s="6" t="s">
        <v>35</v>
      </c>
      <c r="M201">
        <v>29</v>
      </c>
      <c r="N201" s="6" t="str">
        <f t="shared" si="24"/>
        <v>Adults</v>
      </c>
      <c r="O201" s="6" t="s">
        <v>42</v>
      </c>
      <c r="P201" s="6" t="s">
        <v>50</v>
      </c>
      <c r="Q201" t="s">
        <v>818</v>
      </c>
      <c r="R201" s="6" t="s">
        <v>38</v>
      </c>
      <c r="S201" s="6" t="s">
        <v>44</v>
      </c>
      <c r="T201" s="14">
        <v>4.8599999999999997E-2</v>
      </c>
      <c r="U201">
        <v>4.8600000000000003</v>
      </c>
      <c r="V201" t="str">
        <f>IF(fin_table[[#This Row],[Interest Rate(%)]]&gt;4,"high","low")</f>
        <v>high</v>
      </c>
      <c r="W201" s="5">
        <v>26681.654999999999</v>
      </c>
      <c r="X201" s="5">
        <f>fin_table[[#This Row],[Interest Rate]]*fin_table[[#This Row],[Loan Amount]]</f>
        <v>1296.7284329999998</v>
      </c>
      <c r="Y201">
        <v>13</v>
      </c>
      <c r="Z201" s="3">
        <v>637</v>
      </c>
      <c r="AA201" s="3" t="str">
        <f t="shared" si="25"/>
        <v>Fair</v>
      </c>
      <c r="AB201" s="3" cm="1">
        <f t="array" ref="AB201">_xlfn.IFS(fin_table[[#This Row],[Transaction Status]]="Failed", 1, fin_table[[#This Row],[Transaction Status]]="Completed",0,fin_table[[#This Row],[Transaction Status]]="Pending",2)</f>
        <v>0</v>
      </c>
      <c r="AC201" s="3" t="str">
        <f>IF(fin_table[[#This Row],[Loan Defaulters]]=1,"Default", "Good")</f>
        <v>Good</v>
      </c>
      <c r="AD201" s="3">
        <f t="shared" si="26"/>
        <v>2</v>
      </c>
      <c r="AE201" s="4">
        <v>8718.41</v>
      </c>
      <c r="AF201" s="4" t="str">
        <f>IF(fin_table[[#This Row],[Monthly Income]]&lt;3000, "Low Income", IF(fin_table[[#This Row],[Monthly Income]]&lt;=5000, "Middle Income", "High Income"))</f>
        <v>High Income</v>
      </c>
      <c r="AG201" t="s">
        <v>63</v>
      </c>
      <c r="AH201" t="s">
        <v>3635</v>
      </c>
      <c r="AI201" t="str">
        <f t="shared" si="27"/>
        <v>Low-Risk</v>
      </c>
    </row>
    <row r="202" spans="1:35" x14ac:dyDescent="0.35">
      <c r="A202" t="s">
        <v>819</v>
      </c>
      <c r="B202" t="s">
        <v>820</v>
      </c>
      <c r="C202" t="s">
        <v>821</v>
      </c>
      <c r="D202" s="1">
        <v>44810</v>
      </c>
      <c r="E202" s="1" t="str">
        <f t="shared" si="21"/>
        <v>06</v>
      </c>
      <c r="F202" s="1" t="str">
        <f t="shared" si="22"/>
        <v>Sep</v>
      </c>
      <c r="G202" s="6" t="s">
        <v>56</v>
      </c>
      <c r="H202" s="5">
        <v>8810.64</v>
      </c>
      <c r="I202" s="5" t="str">
        <f>IF(fin_table[[#This Row],[Account Balance]]&lt;20000,"Active", "Not Active")</f>
        <v>Active</v>
      </c>
      <c r="J202" s="5">
        <v>19104.61</v>
      </c>
      <c r="K202" s="5" t="str">
        <f t="shared" si="23"/>
        <v>Medium</v>
      </c>
      <c r="L202" s="6" t="s">
        <v>49</v>
      </c>
      <c r="M202">
        <v>26</v>
      </c>
      <c r="N202" s="6" t="str">
        <f t="shared" si="24"/>
        <v>Adults</v>
      </c>
      <c r="O202" s="6" t="s">
        <v>42</v>
      </c>
      <c r="P202" s="6" t="s">
        <v>26</v>
      </c>
      <c r="Q202" t="s">
        <v>822</v>
      </c>
      <c r="R202" s="6" t="s">
        <v>38</v>
      </c>
      <c r="S202" s="6" t="s">
        <v>44</v>
      </c>
      <c r="T202" s="14">
        <v>3.04E-2</v>
      </c>
      <c r="U202">
        <v>3.04</v>
      </c>
      <c r="V202" t="str">
        <f>IF(fin_table[[#This Row],[Interest Rate(%)]]&gt;4,"high","low")</f>
        <v>low</v>
      </c>
      <c r="W202" s="5">
        <v>44740.37</v>
      </c>
      <c r="X202" s="5">
        <f>fin_table[[#This Row],[Interest Rate]]*fin_table[[#This Row],[Loan Amount]]</f>
        <v>1360.107248</v>
      </c>
      <c r="Y202">
        <v>2</v>
      </c>
      <c r="Z202" s="3">
        <v>652</v>
      </c>
      <c r="AA202" s="3" t="str">
        <f t="shared" si="25"/>
        <v>Fair</v>
      </c>
      <c r="AB202" s="3" cm="1">
        <f t="array" ref="AB202">_xlfn.IFS(fin_table[[#This Row],[Transaction Status]]="Failed", 1, fin_table[[#This Row],[Transaction Status]]="Completed",0,fin_table[[#This Row],[Transaction Status]]="Pending",2)</f>
        <v>0</v>
      </c>
      <c r="AC202" s="3" t="str">
        <f>IF(fin_table[[#This Row],[Loan Defaulters]]=1,"Default", "Good")</f>
        <v>Good</v>
      </c>
      <c r="AD202" s="3">
        <f t="shared" si="26"/>
        <v>2</v>
      </c>
      <c r="AE202" s="4">
        <v>4774.82</v>
      </c>
      <c r="AF202" s="4" t="str">
        <f>IF(fin_table[[#This Row],[Monthly Income]]&lt;3000, "Low Income", IF(fin_table[[#This Row],[Monthly Income]]&lt;=5000, "Middle Income", "High Income"))</f>
        <v>Middle Income</v>
      </c>
      <c r="AG202" t="s">
        <v>30</v>
      </c>
      <c r="AH202" t="s">
        <v>3636</v>
      </c>
      <c r="AI202" t="str">
        <f t="shared" si="27"/>
        <v>Low-Risk</v>
      </c>
    </row>
    <row r="203" spans="1:35" x14ac:dyDescent="0.35">
      <c r="A203" t="s">
        <v>823</v>
      </c>
      <c r="B203" t="s">
        <v>824</v>
      </c>
      <c r="C203" t="s">
        <v>825</v>
      </c>
      <c r="D203" s="1">
        <v>45078</v>
      </c>
      <c r="E203" s="1" t="str">
        <f t="shared" si="21"/>
        <v>01</v>
      </c>
      <c r="F203" s="1" t="str">
        <f t="shared" si="22"/>
        <v>Jun</v>
      </c>
      <c r="G203" s="6" t="s">
        <v>56</v>
      </c>
      <c r="H203" s="5">
        <v>5790.32</v>
      </c>
      <c r="I203" s="5" t="str">
        <f>IF(fin_table[[#This Row],[Account Balance]]&lt;20000,"Active", "Not Active")</f>
        <v>Active</v>
      </c>
      <c r="J203" s="5">
        <v>3220.64</v>
      </c>
      <c r="K203" s="5" t="str">
        <f t="shared" si="23"/>
        <v>Low</v>
      </c>
      <c r="L203" s="6" t="s">
        <v>125</v>
      </c>
      <c r="M203">
        <v>19</v>
      </c>
      <c r="N203" s="6" t="str">
        <f t="shared" si="24"/>
        <v>Young Adults</v>
      </c>
      <c r="O203" s="6" t="s">
        <v>42</v>
      </c>
      <c r="P203" s="6" t="s">
        <v>26</v>
      </c>
      <c r="Q203" t="s">
        <v>826</v>
      </c>
      <c r="R203" s="6" t="s">
        <v>52</v>
      </c>
      <c r="S203" s="6" t="s">
        <v>29</v>
      </c>
      <c r="T203" s="14">
        <v>3.5099999999999999E-2</v>
      </c>
      <c r="U203">
        <v>3.51</v>
      </c>
      <c r="V203" t="str">
        <f>IF(fin_table[[#This Row],[Interest Rate(%)]]&gt;4,"high","low")</f>
        <v>low</v>
      </c>
      <c r="W203" s="5">
        <v>30966.880000000001</v>
      </c>
      <c r="X203" s="5">
        <f>fin_table[[#This Row],[Interest Rate]]*fin_table[[#This Row],[Loan Amount]]</f>
        <v>1086.937488</v>
      </c>
      <c r="Y203">
        <v>13</v>
      </c>
      <c r="Z203" s="3">
        <v>690</v>
      </c>
      <c r="AA203" s="3" t="str">
        <f t="shared" si="25"/>
        <v>Good</v>
      </c>
      <c r="AB203" s="3" cm="1">
        <f t="array" ref="AB203">_xlfn.IFS(fin_table[[#This Row],[Transaction Status]]="Failed", 1, fin_table[[#This Row],[Transaction Status]]="Completed",0,fin_table[[#This Row],[Transaction Status]]="Pending",2)</f>
        <v>1</v>
      </c>
      <c r="AC203" s="3" t="str">
        <f>IF(fin_table[[#This Row],[Loan Defaulters]]=1,"Default", "Good")</f>
        <v>Default</v>
      </c>
      <c r="AD203" s="3">
        <f t="shared" si="26"/>
        <v>3</v>
      </c>
      <c r="AE203" s="4">
        <v>8973.58</v>
      </c>
      <c r="AF203" s="4" t="str">
        <f>IF(fin_table[[#This Row],[Monthly Income]]&lt;3000, "Low Income", IF(fin_table[[#This Row],[Monthly Income]]&lt;=5000, "Middle Income", "High Income"))</f>
        <v>High Income</v>
      </c>
      <c r="AG203" t="s">
        <v>30</v>
      </c>
      <c r="AH203" t="s">
        <v>3636</v>
      </c>
      <c r="AI203" t="str">
        <f t="shared" si="27"/>
        <v>Low-Risk</v>
      </c>
    </row>
    <row r="204" spans="1:35" x14ac:dyDescent="0.35">
      <c r="A204" t="s">
        <v>827</v>
      </c>
      <c r="B204" t="s">
        <v>828</v>
      </c>
      <c r="C204" t="s">
        <v>829</v>
      </c>
      <c r="D204" s="1">
        <v>44759</v>
      </c>
      <c r="E204" s="1" t="str">
        <f t="shared" si="21"/>
        <v>17</v>
      </c>
      <c r="F204" s="1" t="str">
        <f t="shared" si="22"/>
        <v>Jul</v>
      </c>
      <c r="G204" s="6" t="s">
        <v>56</v>
      </c>
      <c r="H204" s="5">
        <v>393.72</v>
      </c>
      <c r="I204" s="5" t="str">
        <f>IF(fin_table[[#This Row],[Account Balance]]&lt;20000,"Active", "Not Active")</f>
        <v>Active</v>
      </c>
      <c r="J204" s="5">
        <v>18147.3</v>
      </c>
      <c r="K204" s="5" t="str">
        <f t="shared" si="23"/>
        <v>Medium</v>
      </c>
      <c r="L204" s="6" t="s">
        <v>24</v>
      </c>
      <c r="M204">
        <v>25</v>
      </c>
      <c r="N204" s="6" t="str">
        <f t="shared" si="24"/>
        <v>Young Adults</v>
      </c>
      <c r="O204" s="6" t="s">
        <v>42</v>
      </c>
      <c r="P204" s="6" t="s">
        <v>50</v>
      </c>
      <c r="Q204" t="s">
        <v>383</v>
      </c>
      <c r="R204" s="6" t="s">
        <v>38</v>
      </c>
      <c r="S204" s="6" t="s">
        <v>29</v>
      </c>
      <c r="T204" s="14">
        <v>2.4299999999999999E-2</v>
      </c>
      <c r="U204">
        <v>2.4300000000000002</v>
      </c>
      <c r="V204" t="str">
        <f>IF(fin_table[[#This Row],[Interest Rate(%)]]&gt;4,"high","low")</f>
        <v>low</v>
      </c>
      <c r="W204" s="5">
        <v>20930.88</v>
      </c>
      <c r="X204" s="5">
        <f>fin_table[[#This Row],[Interest Rate]]*fin_table[[#This Row],[Loan Amount]]</f>
        <v>508.620384</v>
      </c>
      <c r="Y204">
        <v>13</v>
      </c>
      <c r="Z204" s="3">
        <v>414</v>
      </c>
      <c r="AA204" s="3" t="str">
        <f t="shared" si="25"/>
        <v>Poor</v>
      </c>
      <c r="AB204" s="3" cm="1">
        <f t="array" ref="AB204">_xlfn.IFS(fin_table[[#This Row],[Transaction Status]]="Failed", 1, fin_table[[#This Row],[Transaction Status]]="Completed",0,fin_table[[#This Row],[Transaction Status]]="Pending",2)</f>
        <v>1</v>
      </c>
      <c r="AC204" s="3" t="str">
        <f>IF(fin_table[[#This Row],[Loan Defaulters]]=1,"Default", "Good")</f>
        <v>Default</v>
      </c>
      <c r="AD204" s="3">
        <f t="shared" si="26"/>
        <v>1</v>
      </c>
      <c r="AE204" s="4">
        <v>12859.71</v>
      </c>
      <c r="AF204" s="4" t="str">
        <f>IF(fin_table[[#This Row],[Monthly Income]]&lt;3000, "Low Income", IF(fin_table[[#This Row],[Monthly Income]]&lt;=5000, "Middle Income", "High Income"))</f>
        <v>High Income</v>
      </c>
      <c r="AG204" t="s">
        <v>45</v>
      </c>
      <c r="AH204" t="s">
        <v>3636</v>
      </c>
      <c r="AI204" t="str">
        <f t="shared" si="27"/>
        <v>Low-Risk</v>
      </c>
    </row>
    <row r="205" spans="1:35" x14ac:dyDescent="0.35">
      <c r="A205" t="s">
        <v>830</v>
      </c>
      <c r="B205" t="s">
        <v>831</v>
      </c>
      <c r="C205" t="s">
        <v>832</v>
      </c>
      <c r="D205" s="1">
        <v>44911</v>
      </c>
      <c r="E205" s="1" t="str">
        <f t="shared" si="21"/>
        <v>16</v>
      </c>
      <c r="F205" s="1" t="str">
        <f t="shared" si="22"/>
        <v>Dec</v>
      </c>
      <c r="G205" s="6" t="s">
        <v>56</v>
      </c>
      <c r="H205" s="5">
        <v>6786.66</v>
      </c>
      <c r="I205" s="5" t="str">
        <f>IF(fin_table[[#This Row],[Account Balance]]&lt;20000,"Active", "Not Active")</f>
        <v>Not Active</v>
      </c>
      <c r="J205" s="5">
        <v>46535.13</v>
      </c>
      <c r="K205" s="5" t="str">
        <f t="shared" si="23"/>
        <v>Medium</v>
      </c>
      <c r="L205" s="6" t="s">
        <v>100</v>
      </c>
      <c r="M205">
        <v>28</v>
      </c>
      <c r="N205" s="6" t="str">
        <f t="shared" si="24"/>
        <v>Adults</v>
      </c>
      <c r="O205" s="6" t="s">
        <v>42</v>
      </c>
      <c r="P205" s="6" t="s">
        <v>36</v>
      </c>
      <c r="Q205" t="s">
        <v>833</v>
      </c>
      <c r="R205" s="6" t="s">
        <v>28</v>
      </c>
      <c r="S205" s="6" t="s">
        <v>44</v>
      </c>
      <c r="T205" s="14">
        <v>2.29E-2</v>
      </c>
      <c r="U205">
        <v>2.29</v>
      </c>
      <c r="V205" t="str">
        <f>IF(fin_table[[#This Row],[Interest Rate(%)]]&gt;4,"high","low")</f>
        <v>low</v>
      </c>
      <c r="W205" s="5">
        <v>26681.654999999999</v>
      </c>
      <c r="X205" s="5">
        <f>fin_table[[#This Row],[Interest Rate]]*fin_table[[#This Row],[Loan Amount]]</f>
        <v>611.00989949999996</v>
      </c>
      <c r="Y205">
        <v>4</v>
      </c>
      <c r="Z205" s="3">
        <v>647</v>
      </c>
      <c r="AA205" s="3" t="str">
        <f t="shared" si="25"/>
        <v>Fair</v>
      </c>
      <c r="AB205" s="3" cm="1">
        <f t="array" ref="AB205">_xlfn.IFS(fin_table[[#This Row],[Transaction Status]]="Failed", 1, fin_table[[#This Row],[Transaction Status]]="Completed",0,fin_table[[#This Row],[Transaction Status]]="Pending",2)</f>
        <v>0</v>
      </c>
      <c r="AC205" s="3" t="str">
        <f>IF(fin_table[[#This Row],[Loan Defaulters]]=1,"Default", "Good")</f>
        <v>Good</v>
      </c>
      <c r="AD205" s="3">
        <f t="shared" si="26"/>
        <v>2</v>
      </c>
      <c r="AE205" s="4">
        <v>10005.299999999999</v>
      </c>
      <c r="AF205" s="4" t="str">
        <f>IF(fin_table[[#This Row],[Monthly Income]]&lt;3000, "Low Income", IF(fin_table[[#This Row],[Monthly Income]]&lt;=5000, "Middle Income", "High Income"))</f>
        <v>High Income</v>
      </c>
      <c r="AG205" t="s">
        <v>63</v>
      </c>
      <c r="AH205" t="s">
        <v>3635</v>
      </c>
      <c r="AI205" t="str">
        <f t="shared" si="27"/>
        <v>Low-Risk</v>
      </c>
    </row>
    <row r="206" spans="1:35" x14ac:dyDescent="0.35">
      <c r="A206" t="s">
        <v>834</v>
      </c>
      <c r="B206" t="s">
        <v>835</v>
      </c>
      <c r="C206" t="s">
        <v>836</v>
      </c>
      <c r="D206" s="1">
        <v>45159</v>
      </c>
      <c r="E206" s="1" t="str">
        <f t="shared" si="21"/>
        <v>21</v>
      </c>
      <c r="F206" s="1" t="str">
        <f t="shared" si="22"/>
        <v>Aug</v>
      </c>
      <c r="G206" s="6" t="s">
        <v>71</v>
      </c>
      <c r="H206" s="5">
        <v>544.04999999999995</v>
      </c>
      <c r="I206" s="5" t="str">
        <f>IF(fin_table[[#This Row],[Account Balance]]&lt;20000,"Active", "Not Active")</f>
        <v>Active</v>
      </c>
      <c r="J206" s="5">
        <v>19582.099999999999</v>
      </c>
      <c r="K206" s="5" t="str">
        <f t="shared" si="23"/>
        <v>Medium</v>
      </c>
      <c r="L206" s="6" t="s">
        <v>100</v>
      </c>
      <c r="M206">
        <v>53</v>
      </c>
      <c r="N206" s="6" t="str">
        <f t="shared" si="24"/>
        <v>Older Adults</v>
      </c>
      <c r="O206" s="6" t="s">
        <v>25</v>
      </c>
      <c r="P206" s="6" t="s">
        <v>50</v>
      </c>
      <c r="Q206" t="s">
        <v>837</v>
      </c>
      <c r="R206" s="6" t="s">
        <v>28</v>
      </c>
      <c r="S206" s="6" t="s">
        <v>44</v>
      </c>
      <c r="T206" s="14">
        <v>1.09E-2</v>
      </c>
      <c r="U206">
        <v>1.0900000000000001</v>
      </c>
      <c r="V206" t="str">
        <f>IF(fin_table[[#This Row],[Interest Rate(%)]]&gt;4,"high","low")</f>
        <v>low</v>
      </c>
      <c r="W206" s="5">
        <v>26681.654999999999</v>
      </c>
      <c r="X206" s="5">
        <f>fin_table[[#This Row],[Interest Rate]]*fin_table[[#This Row],[Loan Amount]]</f>
        <v>290.8300395</v>
      </c>
      <c r="Y206">
        <v>13</v>
      </c>
      <c r="Z206" s="3">
        <v>300</v>
      </c>
      <c r="AA206" s="3" t="str">
        <f t="shared" si="25"/>
        <v>Poor</v>
      </c>
      <c r="AB206" s="3" cm="1">
        <f t="array" ref="AB206">_xlfn.IFS(fin_table[[#This Row],[Transaction Status]]="Failed", 1, fin_table[[#This Row],[Transaction Status]]="Completed",0,fin_table[[#This Row],[Transaction Status]]="Pending",2)</f>
        <v>0</v>
      </c>
      <c r="AC206" s="3" t="str">
        <f>IF(fin_table[[#This Row],[Loan Defaulters]]=1,"Default", "Good")</f>
        <v>Good</v>
      </c>
      <c r="AD206" s="3">
        <f t="shared" si="26"/>
        <v>1</v>
      </c>
      <c r="AE206" s="4">
        <v>10239.25</v>
      </c>
      <c r="AF206" s="4" t="str">
        <f>IF(fin_table[[#This Row],[Monthly Income]]&lt;3000, "Low Income", IF(fin_table[[#This Row],[Monthly Income]]&lt;=5000, "Middle Income", "High Income"))</f>
        <v>High Income</v>
      </c>
      <c r="AG206" t="s">
        <v>63</v>
      </c>
      <c r="AH206" t="s">
        <v>3635</v>
      </c>
      <c r="AI206" t="str">
        <f t="shared" si="27"/>
        <v>Low-Risk</v>
      </c>
    </row>
    <row r="207" spans="1:35" x14ac:dyDescent="0.35">
      <c r="A207" t="s">
        <v>838</v>
      </c>
      <c r="B207" t="s">
        <v>839</v>
      </c>
      <c r="C207" t="s">
        <v>840</v>
      </c>
      <c r="D207" s="1">
        <v>44643</v>
      </c>
      <c r="E207" s="1" t="str">
        <f t="shared" si="21"/>
        <v>23</v>
      </c>
      <c r="F207" s="1" t="str">
        <f t="shared" si="22"/>
        <v>Mar</v>
      </c>
      <c r="G207" s="6" t="s">
        <v>56</v>
      </c>
      <c r="H207" s="5">
        <v>4560.91</v>
      </c>
      <c r="I207" s="5" t="str">
        <f>IF(fin_table[[#This Row],[Account Balance]]&lt;20000,"Active", "Not Active")</f>
        <v>Not Active</v>
      </c>
      <c r="J207" s="5">
        <v>41737.019999999997</v>
      </c>
      <c r="K207" s="5" t="str">
        <f t="shared" si="23"/>
        <v>Medium</v>
      </c>
      <c r="L207" s="6" t="s">
        <v>24</v>
      </c>
      <c r="M207">
        <v>27</v>
      </c>
      <c r="N207" s="6" t="str">
        <f t="shared" si="24"/>
        <v>Adults</v>
      </c>
      <c r="O207" s="6" t="s">
        <v>42</v>
      </c>
      <c r="P207" s="6" t="s">
        <v>50</v>
      </c>
      <c r="Q207" t="s">
        <v>27</v>
      </c>
      <c r="R207" s="6" t="s">
        <v>38</v>
      </c>
      <c r="S207" s="6" t="s">
        <v>29</v>
      </c>
      <c r="T207" s="47">
        <v>0.03</v>
      </c>
      <c r="U207">
        <v>0.03</v>
      </c>
      <c r="V207" t="str">
        <f>IF(fin_table[[#This Row],[Interest Rate(%)]]&gt;4,"high","low")</f>
        <v>low</v>
      </c>
      <c r="W207" s="5">
        <v>29488.2</v>
      </c>
      <c r="X207" s="5">
        <f>fin_table[[#This Row],[Interest Rate]]*fin_table[[#This Row],[Loan Amount]]</f>
        <v>884.64599999999996</v>
      </c>
      <c r="Y207">
        <v>24</v>
      </c>
      <c r="Z207" s="3">
        <v>362</v>
      </c>
      <c r="AA207" s="3" t="str">
        <f t="shared" si="25"/>
        <v>Poor</v>
      </c>
      <c r="AB207" s="3" cm="1">
        <f t="array" ref="AB207">_xlfn.IFS(fin_table[[#This Row],[Transaction Status]]="Failed", 1, fin_table[[#This Row],[Transaction Status]]="Completed",0,fin_table[[#This Row],[Transaction Status]]="Pending",2)</f>
        <v>1</v>
      </c>
      <c r="AC207" s="3" t="str">
        <f>IF(fin_table[[#This Row],[Loan Defaulters]]=1,"Default", "Good")</f>
        <v>Default</v>
      </c>
      <c r="AD207" s="3">
        <f t="shared" si="26"/>
        <v>1</v>
      </c>
      <c r="AE207" s="4">
        <v>9033.39</v>
      </c>
      <c r="AF207" s="4" t="str">
        <f>IF(fin_table[[#This Row],[Monthly Income]]&lt;3000, "Low Income", IF(fin_table[[#This Row],[Monthly Income]]&lt;=5000, "Middle Income", "High Income"))</f>
        <v>High Income</v>
      </c>
      <c r="AG207" t="s">
        <v>45</v>
      </c>
      <c r="AH207" t="s">
        <v>3636</v>
      </c>
      <c r="AI207" t="str">
        <f t="shared" si="27"/>
        <v>Low-Risk</v>
      </c>
    </row>
    <row r="208" spans="1:35" x14ac:dyDescent="0.35">
      <c r="A208" t="s">
        <v>841</v>
      </c>
      <c r="B208" t="s">
        <v>842</v>
      </c>
      <c r="C208" t="s">
        <v>843</v>
      </c>
      <c r="D208" s="1">
        <v>44736</v>
      </c>
      <c r="E208" s="1" t="str">
        <f t="shared" si="21"/>
        <v>24</v>
      </c>
      <c r="F208" s="1" t="str">
        <f t="shared" si="22"/>
        <v>Jun</v>
      </c>
      <c r="G208" s="6" t="s">
        <v>34</v>
      </c>
      <c r="H208" s="5">
        <v>9301.32</v>
      </c>
      <c r="I208" s="5" t="str">
        <f>IF(fin_table[[#This Row],[Account Balance]]&lt;20000,"Active", "Not Active")</f>
        <v>Not Active</v>
      </c>
      <c r="J208" s="5">
        <v>42273.95</v>
      </c>
      <c r="K208" s="5" t="str">
        <f t="shared" si="23"/>
        <v>Medium</v>
      </c>
      <c r="L208" s="6" t="s">
        <v>35</v>
      </c>
      <c r="M208">
        <v>38</v>
      </c>
      <c r="N208" s="6" t="str">
        <f t="shared" si="24"/>
        <v>Middle-Aged</v>
      </c>
      <c r="O208" s="6" t="s">
        <v>25</v>
      </c>
      <c r="P208" s="6" t="s">
        <v>36</v>
      </c>
      <c r="Q208" t="s">
        <v>844</v>
      </c>
      <c r="R208" s="6" t="s">
        <v>52</v>
      </c>
      <c r="S208" s="6" t="s">
        <v>62</v>
      </c>
      <c r="T208" s="14">
        <v>2.93E-2</v>
      </c>
      <c r="U208">
        <v>2.93</v>
      </c>
      <c r="V208" t="str">
        <f>IF(fin_table[[#This Row],[Interest Rate(%)]]&gt;4,"high","low")</f>
        <v>low</v>
      </c>
      <c r="W208" s="5">
        <v>26681.654999999999</v>
      </c>
      <c r="X208" s="5">
        <f>fin_table[[#This Row],[Interest Rate]]*fin_table[[#This Row],[Loan Amount]]</f>
        <v>781.7724915</v>
      </c>
      <c r="Y208">
        <v>13</v>
      </c>
      <c r="Z208" s="3">
        <v>525</v>
      </c>
      <c r="AA208" s="3" t="str">
        <f t="shared" si="25"/>
        <v>Poor</v>
      </c>
      <c r="AB208" s="3" cm="1">
        <f t="array" ref="AB208">_xlfn.IFS(fin_table[[#This Row],[Transaction Status]]="Failed", 1, fin_table[[#This Row],[Transaction Status]]="Completed",0,fin_table[[#This Row],[Transaction Status]]="Pending",2)</f>
        <v>2</v>
      </c>
      <c r="AC208" s="3" t="str">
        <f>IF(fin_table[[#This Row],[Loan Defaulters]]=1,"Default", "Good")</f>
        <v>Good</v>
      </c>
      <c r="AD208" s="3">
        <f t="shared" si="26"/>
        <v>1</v>
      </c>
      <c r="AE208" s="4">
        <v>14054.45</v>
      </c>
      <c r="AF208" s="4" t="str">
        <f>IF(fin_table[[#This Row],[Monthly Income]]&lt;3000, "Low Income", IF(fin_table[[#This Row],[Monthly Income]]&lt;=5000, "Middle Income", "High Income"))</f>
        <v>High Income</v>
      </c>
      <c r="AG208" t="s">
        <v>45</v>
      </c>
      <c r="AH208" t="s">
        <v>3635</v>
      </c>
      <c r="AI208" t="str">
        <f t="shared" si="27"/>
        <v>Low-Risk</v>
      </c>
    </row>
    <row r="209" spans="1:35" x14ac:dyDescent="0.35">
      <c r="A209" t="s">
        <v>845</v>
      </c>
      <c r="B209" t="s">
        <v>846</v>
      </c>
      <c r="C209" t="s">
        <v>847</v>
      </c>
      <c r="D209" s="1">
        <v>44752</v>
      </c>
      <c r="E209" s="1" t="str">
        <f t="shared" si="21"/>
        <v>10</v>
      </c>
      <c r="F209" s="1" t="str">
        <f t="shared" si="22"/>
        <v>Jul</v>
      </c>
      <c r="G209" s="6" t="s">
        <v>34</v>
      </c>
      <c r="H209" s="5">
        <v>1735.52</v>
      </c>
      <c r="I209" s="5" t="str">
        <f>IF(fin_table[[#This Row],[Account Balance]]&lt;20000,"Active", "Not Active")</f>
        <v>Active</v>
      </c>
      <c r="J209" s="5">
        <v>19288.82</v>
      </c>
      <c r="K209" s="5" t="str">
        <f t="shared" si="23"/>
        <v>Medium</v>
      </c>
      <c r="L209" s="6" t="s">
        <v>24</v>
      </c>
      <c r="M209">
        <v>37</v>
      </c>
      <c r="N209" s="6" t="str">
        <f t="shared" si="24"/>
        <v>Middle-Aged</v>
      </c>
      <c r="O209" s="6" t="s">
        <v>25</v>
      </c>
      <c r="P209" s="6" t="s">
        <v>36</v>
      </c>
      <c r="Q209" t="s">
        <v>848</v>
      </c>
      <c r="R209" s="6" t="s">
        <v>52</v>
      </c>
      <c r="S209" s="6" t="s">
        <v>44</v>
      </c>
      <c r="T209" s="14">
        <v>1.6299999999999999E-2</v>
      </c>
      <c r="U209">
        <v>1.63</v>
      </c>
      <c r="V209" t="str">
        <f>IF(fin_table[[#This Row],[Interest Rate(%)]]&gt;4,"high","low")</f>
        <v>low</v>
      </c>
      <c r="W209" s="5">
        <v>16294.39</v>
      </c>
      <c r="X209" s="5">
        <f>fin_table[[#This Row],[Interest Rate]]*fin_table[[#This Row],[Loan Amount]]</f>
        <v>265.59855699999997</v>
      </c>
      <c r="Y209">
        <v>13</v>
      </c>
      <c r="Z209" s="3">
        <v>722</v>
      </c>
      <c r="AA209" s="3" t="str">
        <f t="shared" si="25"/>
        <v>Good</v>
      </c>
      <c r="AB209" s="3" cm="1">
        <f t="array" ref="AB209">_xlfn.IFS(fin_table[[#This Row],[Transaction Status]]="Failed", 1, fin_table[[#This Row],[Transaction Status]]="Completed",0,fin_table[[#This Row],[Transaction Status]]="Pending",2)</f>
        <v>0</v>
      </c>
      <c r="AC209" s="3" t="str">
        <f>IF(fin_table[[#This Row],[Loan Defaulters]]=1,"Default", "Good")</f>
        <v>Good</v>
      </c>
      <c r="AD209" s="3">
        <f t="shared" si="26"/>
        <v>3</v>
      </c>
      <c r="AE209" s="4">
        <v>14114.73</v>
      </c>
      <c r="AF209" s="4" t="str">
        <f>IF(fin_table[[#This Row],[Monthly Income]]&lt;3000, "Low Income", IF(fin_table[[#This Row],[Monthly Income]]&lt;=5000, "Middle Income", "High Income"))</f>
        <v>High Income</v>
      </c>
      <c r="AG209" t="s">
        <v>63</v>
      </c>
      <c r="AH209" t="s">
        <v>3636</v>
      </c>
      <c r="AI209" t="str">
        <f t="shared" si="27"/>
        <v>Low-Risk</v>
      </c>
    </row>
    <row r="210" spans="1:35" x14ac:dyDescent="0.35">
      <c r="A210" t="s">
        <v>849</v>
      </c>
      <c r="B210" t="s">
        <v>850</v>
      </c>
      <c r="C210" t="s">
        <v>851</v>
      </c>
      <c r="D210" s="1">
        <v>44833</v>
      </c>
      <c r="E210" s="1" t="str">
        <f t="shared" si="21"/>
        <v>29</v>
      </c>
      <c r="F210" s="1" t="str">
        <f t="shared" si="22"/>
        <v>Sep</v>
      </c>
      <c r="G210" s="6" t="s">
        <v>71</v>
      </c>
      <c r="H210" s="5">
        <v>3959.74</v>
      </c>
      <c r="I210" s="5" t="str">
        <f>IF(fin_table[[#This Row],[Account Balance]]&lt;20000,"Active", "Not Active")</f>
        <v>Not Active</v>
      </c>
      <c r="J210" s="5">
        <v>31967.45</v>
      </c>
      <c r="K210" s="5" t="str">
        <f t="shared" si="23"/>
        <v>Medium</v>
      </c>
      <c r="L210" s="6" t="s">
        <v>49</v>
      </c>
      <c r="M210">
        <v>65</v>
      </c>
      <c r="N210" s="6" t="str">
        <f t="shared" si="24"/>
        <v>Seniors</v>
      </c>
      <c r="O210" s="6" t="s">
        <v>25</v>
      </c>
      <c r="P210" s="6" t="s">
        <v>26</v>
      </c>
      <c r="Q210" t="s">
        <v>852</v>
      </c>
      <c r="R210" s="6" t="s">
        <v>28</v>
      </c>
      <c r="S210" s="6" t="s">
        <v>44</v>
      </c>
      <c r="T210" s="14">
        <v>4.0599999999999997E-2</v>
      </c>
      <c r="U210">
        <v>4.0599999999999996</v>
      </c>
      <c r="V210" t="str">
        <f>IF(fin_table[[#This Row],[Interest Rate(%)]]&gt;4,"high","low")</f>
        <v>high</v>
      </c>
      <c r="W210" s="5">
        <v>38231.78</v>
      </c>
      <c r="X210" s="5">
        <f>fin_table[[#This Row],[Interest Rate]]*fin_table[[#This Row],[Loan Amount]]</f>
        <v>1552.2102679999998</v>
      </c>
      <c r="Y210">
        <v>2</v>
      </c>
      <c r="Z210" s="3">
        <v>318</v>
      </c>
      <c r="AA210" s="3" t="str">
        <f t="shared" si="25"/>
        <v>Poor</v>
      </c>
      <c r="AB210" s="3" cm="1">
        <f t="array" ref="AB210">_xlfn.IFS(fin_table[[#This Row],[Transaction Status]]="Failed", 1, fin_table[[#This Row],[Transaction Status]]="Completed",0,fin_table[[#This Row],[Transaction Status]]="Pending",2)</f>
        <v>0</v>
      </c>
      <c r="AC210" s="3" t="str">
        <f>IF(fin_table[[#This Row],[Loan Defaulters]]=1,"Default", "Good")</f>
        <v>Good</v>
      </c>
      <c r="AD210" s="3">
        <f t="shared" si="26"/>
        <v>1</v>
      </c>
      <c r="AE210" s="4">
        <v>8665.4</v>
      </c>
      <c r="AF210" s="4" t="str">
        <f>IF(fin_table[[#This Row],[Monthly Income]]&lt;3000, "Low Income", IF(fin_table[[#This Row],[Monthly Income]]&lt;=5000, "Middle Income", "High Income"))</f>
        <v>High Income</v>
      </c>
      <c r="AG210" t="s">
        <v>30</v>
      </c>
      <c r="AH210" t="s">
        <v>3636</v>
      </c>
      <c r="AI210" t="str">
        <f t="shared" si="27"/>
        <v>High-Risk</v>
      </c>
    </row>
    <row r="211" spans="1:35" x14ac:dyDescent="0.35">
      <c r="A211" t="s">
        <v>853</v>
      </c>
      <c r="B211" t="s">
        <v>854</v>
      </c>
      <c r="C211" t="s">
        <v>855</v>
      </c>
      <c r="D211" s="1">
        <v>44926</v>
      </c>
      <c r="E211" s="1" t="str">
        <f t="shared" si="21"/>
        <v>31</v>
      </c>
      <c r="F211" s="1" t="str">
        <f t="shared" si="22"/>
        <v>Dec</v>
      </c>
      <c r="G211" s="6" t="s">
        <v>34</v>
      </c>
      <c r="H211" s="5">
        <v>7325.62</v>
      </c>
      <c r="I211" s="5" t="str">
        <f>IF(fin_table[[#This Row],[Account Balance]]&lt;20000,"Active", "Not Active")</f>
        <v>Active</v>
      </c>
      <c r="J211" s="5">
        <v>5673.21</v>
      </c>
      <c r="K211" s="5" t="str">
        <f t="shared" si="23"/>
        <v>Low</v>
      </c>
      <c r="L211" s="6" t="s">
        <v>24</v>
      </c>
      <c r="M211">
        <v>25</v>
      </c>
      <c r="N211" s="6" t="str">
        <f t="shared" si="24"/>
        <v>Young Adults</v>
      </c>
      <c r="O211" s="6" t="s">
        <v>25</v>
      </c>
      <c r="P211" s="6" t="s">
        <v>26</v>
      </c>
      <c r="Q211" t="s">
        <v>856</v>
      </c>
      <c r="R211" s="6" t="s">
        <v>52</v>
      </c>
      <c r="S211" s="6" t="s">
        <v>62</v>
      </c>
      <c r="T211" s="14">
        <v>2.9700000000000001E-2</v>
      </c>
      <c r="U211">
        <v>2.97</v>
      </c>
      <c r="V211" t="str">
        <f>IF(fin_table[[#This Row],[Interest Rate(%)]]&gt;4,"high","low")</f>
        <v>low</v>
      </c>
      <c r="W211" s="5">
        <v>26681.654999999999</v>
      </c>
      <c r="X211" s="5">
        <f>fin_table[[#This Row],[Interest Rate]]*fin_table[[#This Row],[Loan Amount]]</f>
        <v>792.44515349999995</v>
      </c>
      <c r="Y211">
        <v>13</v>
      </c>
      <c r="Z211" s="3">
        <v>330</v>
      </c>
      <c r="AA211" s="3" t="str">
        <f t="shared" si="25"/>
        <v>Poor</v>
      </c>
      <c r="AB211" s="3" cm="1">
        <f t="array" ref="AB211">_xlfn.IFS(fin_table[[#This Row],[Transaction Status]]="Failed", 1, fin_table[[#This Row],[Transaction Status]]="Completed",0,fin_table[[#This Row],[Transaction Status]]="Pending",2)</f>
        <v>2</v>
      </c>
      <c r="AC211" s="3" t="str">
        <f>IF(fin_table[[#This Row],[Loan Defaulters]]=1,"Default", "Good")</f>
        <v>Good</v>
      </c>
      <c r="AD211" s="3">
        <f t="shared" si="26"/>
        <v>1</v>
      </c>
      <c r="AE211" s="4">
        <v>5974.87</v>
      </c>
      <c r="AF211" s="4" t="str">
        <f>IF(fin_table[[#This Row],[Monthly Income]]&lt;3000, "Low Income", IF(fin_table[[#This Row],[Monthly Income]]&lt;=5000, "Middle Income", "High Income"))</f>
        <v>High Income</v>
      </c>
      <c r="AG211" t="s">
        <v>30</v>
      </c>
      <c r="AH211" t="s">
        <v>3635</v>
      </c>
      <c r="AI211" t="str">
        <f t="shared" si="27"/>
        <v>Low-Risk</v>
      </c>
    </row>
    <row r="212" spans="1:35" x14ac:dyDescent="0.35">
      <c r="A212" t="s">
        <v>857</v>
      </c>
      <c r="B212" t="s">
        <v>858</v>
      </c>
      <c r="C212" t="s">
        <v>859</v>
      </c>
      <c r="D212" s="1">
        <v>45062</v>
      </c>
      <c r="E212" s="1" t="str">
        <f t="shared" si="21"/>
        <v>16</v>
      </c>
      <c r="F212" s="1" t="str">
        <f t="shared" si="22"/>
        <v>May</v>
      </c>
      <c r="G212" s="6" t="s">
        <v>34</v>
      </c>
      <c r="H212" s="5">
        <v>8834.36</v>
      </c>
      <c r="I212" s="5" t="str">
        <f>IF(fin_table[[#This Row],[Account Balance]]&lt;20000,"Active", "Not Active")</f>
        <v>Active</v>
      </c>
      <c r="J212" s="5">
        <v>6080.25</v>
      </c>
      <c r="K212" s="5" t="str">
        <f t="shared" si="23"/>
        <v>Low</v>
      </c>
      <c r="L212" s="6" t="s">
        <v>100</v>
      </c>
      <c r="M212">
        <v>53</v>
      </c>
      <c r="N212" s="6" t="str">
        <f t="shared" si="24"/>
        <v>Older Adults</v>
      </c>
      <c r="O212" s="6" t="s">
        <v>25</v>
      </c>
      <c r="P212" s="6" t="s">
        <v>26</v>
      </c>
      <c r="Q212" t="s">
        <v>860</v>
      </c>
      <c r="R212" s="6" t="s">
        <v>38</v>
      </c>
      <c r="S212" s="6" t="s">
        <v>29</v>
      </c>
      <c r="T212" s="14">
        <v>2.3599999999999999E-2</v>
      </c>
      <c r="U212">
        <v>2.36</v>
      </c>
      <c r="V212" t="str">
        <f>IF(fin_table[[#This Row],[Interest Rate(%)]]&gt;4,"high","low")</f>
        <v>low</v>
      </c>
      <c r="W212" s="5">
        <v>26681.654999999999</v>
      </c>
      <c r="X212" s="5">
        <f>fin_table[[#This Row],[Interest Rate]]*fin_table[[#This Row],[Loan Amount]]</f>
        <v>629.68705799999998</v>
      </c>
      <c r="Y212">
        <v>4</v>
      </c>
      <c r="Z212" s="3">
        <v>323</v>
      </c>
      <c r="AA212" s="3" t="str">
        <f t="shared" si="25"/>
        <v>Poor</v>
      </c>
      <c r="AB212" s="3" cm="1">
        <f t="array" ref="AB212">_xlfn.IFS(fin_table[[#This Row],[Transaction Status]]="Failed", 1, fin_table[[#This Row],[Transaction Status]]="Completed",0,fin_table[[#This Row],[Transaction Status]]="Pending",2)</f>
        <v>1</v>
      </c>
      <c r="AC212" s="3" t="str">
        <f>IF(fin_table[[#This Row],[Loan Defaulters]]=1,"Default", "Good")</f>
        <v>Default</v>
      </c>
      <c r="AD212" s="3">
        <f t="shared" si="26"/>
        <v>1</v>
      </c>
      <c r="AE212" s="4">
        <v>7974.63</v>
      </c>
      <c r="AF212" s="4" t="str">
        <f>IF(fin_table[[#This Row],[Monthly Income]]&lt;3000, "Low Income", IF(fin_table[[#This Row],[Monthly Income]]&lt;=5000, "Middle Income", "High Income"))</f>
        <v>High Income</v>
      </c>
      <c r="AG212" t="s">
        <v>45</v>
      </c>
      <c r="AH212" t="s">
        <v>3635</v>
      </c>
      <c r="AI212" t="str">
        <f t="shared" si="27"/>
        <v>Low-Risk</v>
      </c>
    </row>
    <row r="213" spans="1:35" x14ac:dyDescent="0.35">
      <c r="A213" t="s">
        <v>861</v>
      </c>
      <c r="B213" t="s">
        <v>862</v>
      </c>
      <c r="C213" t="s">
        <v>863</v>
      </c>
      <c r="D213" s="1">
        <v>44864</v>
      </c>
      <c r="E213" s="1" t="str">
        <f t="shared" si="21"/>
        <v>30</v>
      </c>
      <c r="F213" s="1" t="str">
        <f t="shared" si="22"/>
        <v>Oct</v>
      </c>
      <c r="G213" s="6" t="s">
        <v>56</v>
      </c>
      <c r="H213" s="5">
        <v>6742.34</v>
      </c>
      <c r="I213" s="5" t="str">
        <f>IF(fin_table[[#This Row],[Account Balance]]&lt;20000,"Active", "Not Active")</f>
        <v>Active</v>
      </c>
      <c r="J213" s="5">
        <v>3384.23</v>
      </c>
      <c r="K213" s="5" t="str">
        <f t="shared" si="23"/>
        <v>Low</v>
      </c>
      <c r="L213" s="6" t="s">
        <v>24</v>
      </c>
      <c r="M213">
        <v>46</v>
      </c>
      <c r="N213" s="6" t="str">
        <f t="shared" si="24"/>
        <v>Older Adults</v>
      </c>
      <c r="O213" s="6" t="s">
        <v>25</v>
      </c>
      <c r="P213" s="6" t="s">
        <v>26</v>
      </c>
      <c r="Q213" t="s">
        <v>864</v>
      </c>
      <c r="R213" s="6" t="s">
        <v>38</v>
      </c>
      <c r="S213" s="6" t="s">
        <v>29</v>
      </c>
      <c r="T213" s="14">
        <v>1.5900000000000001E-2</v>
      </c>
      <c r="U213">
        <v>1.59</v>
      </c>
      <c r="V213" t="str">
        <f>IF(fin_table[[#This Row],[Interest Rate(%)]]&gt;4,"high","low")</f>
        <v>low</v>
      </c>
      <c r="W213" s="5">
        <v>26681.654999999999</v>
      </c>
      <c r="X213" s="5">
        <f>fin_table[[#This Row],[Interest Rate]]*fin_table[[#This Row],[Loan Amount]]</f>
        <v>424.2383145</v>
      </c>
      <c r="Y213">
        <v>3</v>
      </c>
      <c r="Z213" s="3">
        <v>510</v>
      </c>
      <c r="AA213" s="3" t="str">
        <f t="shared" si="25"/>
        <v>Poor</v>
      </c>
      <c r="AB213" s="3" cm="1">
        <f t="array" ref="AB213">_xlfn.IFS(fin_table[[#This Row],[Transaction Status]]="Failed", 1, fin_table[[#This Row],[Transaction Status]]="Completed",0,fin_table[[#This Row],[Transaction Status]]="Pending",2)</f>
        <v>1</v>
      </c>
      <c r="AC213" s="3" t="str">
        <f>IF(fin_table[[#This Row],[Loan Defaulters]]=1,"Default", "Good")</f>
        <v>Default</v>
      </c>
      <c r="AD213" s="3">
        <f t="shared" si="26"/>
        <v>1</v>
      </c>
      <c r="AE213" s="4">
        <v>4425.25</v>
      </c>
      <c r="AF213" s="4" t="str">
        <f>IF(fin_table[[#This Row],[Monthly Income]]&lt;3000, "Low Income", IF(fin_table[[#This Row],[Monthly Income]]&lt;=5000, "Middle Income", "High Income"))</f>
        <v>Middle Income</v>
      </c>
      <c r="AG213" t="s">
        <v>63</v>
      </c>
      <c r="AH213" t="s">
        <v>3635</v>
      </c>
      <c r="AI213" t="str">
        <f t="shared" si="27"/>
        <v>Low-Risk</v>
      </c>
    </row>
    <row r="214" spans="1:35" x14ac:dyDescent="0.35">
      <c r="A214" t="s">
        <v>865</v>
      </c>
      <c r="B214" t="s">
        <v>866</v>
      </c>
      <c r="C214" t="s">
        <v>867</v>
      </c>
      <c r="D214" s="1">
        <v>44997</v>
      </c>
      <c r="E214" s="1" t="str">
        <f t="shared" si="21"/>
        <v>12</v>
      </c>
      <c r="F214" s="1" t="str">
        <f t="shared" si="22"/>
        <v>Mar</v>
      </c>
      <c r="G214" s="6" t="s">
        <v>34</v>
      </c>
      <c r="H214" s="5">
        <v>2655.92</v>
      </c>
      <c r="I214" s="5" t="str">
        <f>IF(fin_table[[#This Row],[Account Balance]]&lt;20000,"Active", "Not Active")</f>
        <v>Not Active</v>
      </c>
      <c r="J214" s="5">
        <v>29469.74</v>
      </c>
      <c r="K214" s="5" t="str">
        <f t="shared" si="23"/>
        <v>Medium</v>
      </c>
      <c r="L214" s="6" t="s">
        <v>125</v>
      </c>
      <c r="M214">
        <v>59</v>
      </c>
      <c r="N214" s="6" t="str">
        <f t="shared" si="24"/>
        <v>Older Adults</v>
      </c>
      <c r="O214" s="6" t="s">
        <v>25</v>
      </c>
      <c r="P214" s="6" t="s">
        <v>36</v>
      </c>
      <c r="Q214" t="s">
        <v>792</v>
      </c>
      <c r="R214" s="6" t="s">
        <v>28</v>
      </c>
      <c r="S214" s="6" t="s">
        <v>62</v>
      </c>
      <c r="T214" s="14">
        <v>3.2099999999999997E-2</v>
      </c>
      <c r="U214">
        <v>3.21</v>
      </c>
      <c r="V214" t="str">
        <f>IF(fin_table[[#This Row],[Interest Rate(%)]]&gt;4,"high","low")</f>
        <v>low</v>
      </c>
      <c r="W214" s="5">
        <v>8493.43</v>
      </c>
      <c r="X214" s="5">
        <f>fin_table[[#This Row],[Interest Rate]]*fin_table[[#This Row],[Loan Amount]]</f>
        <v>272.63910299999998</v>
      </c>
      <c r="Y214">
        <v>17</v>
      </c>
      <c r="Z214" s="3">
        <v>460</v>
      </c>
      <c r="AA214" s="3" t="str">
        <f t="shared" si="25"/>
        <v>Poor</v>
      </c>
      <c r="AB214" s="3" cm="1">
        <f t="array" ref="AB214">_xlfn.IFS(fin_table[[#This Row],[Transaction Status]]="Failed", 1, fin_table[[#This Row],[Transaction Status]]="Completed",0,fin_table[[#This Row],[Transaction Status]]="Pending",2)</f>
        <v>2</v>
      </c>
      <c r="AC214" s="3" t="str">
        <f>IF(fin_table[[#This Row],[Loan Defaulters]]=1,"Default", "Good")</f>
        <v>Good</v>
      </c>
      <c r="AD214" s="3">
        <f t="shared" si="26"/>
        <v>1</v>
      </c>
      <c r="AE214" s="4">
        <v>10272.48</v>
      </c>
      <c r="AF214" s="4" t="str">
        <f>IF(fin_table[[#This Row],[Monthly Income]]&lt;3000, "Low Income", IF(fin_table[[#This Row],[Monthly Income]]&lt;=5000, "Middle Income", "High Income"))</f>
        <v>High Income</v>
      </c>
      <c r="AG214" t="s">
        <v>45</v>
      </c>
      <c r="AH214" t="s">
        <v>3636</v>
      </c>
      <c r="AI214" t="str">
        <f t="shared" si="27"/>
        <v>Low-Risk</v>
      </c>
    </row>
    <row r="215" spans="1:35" x14ac:dyDescent="0.35">
      <c r="A215" t="s">
        <v>868</v>
      </c>
      <c r="B215" t="s">
        <v>869</v>
      </c>
      <c r="C215" t="s">
        <v>870</v>
      </c>
      <c r="D215" s="1">
        <v>44994</v>
      </c>
      <c r="E215" s="1" t="str">
        <f t="shared" si="21"/>
        <v>09</v>
      </c>
      <c r="F215" s="1" t="str">
        <f t="shared" si="22"/>
        <v>Mar</v>
      </c>
      <c r="G215" s="6" t="s">
        <v>71</v>
      </c>
      <c r="H215" s="5">
        <v>6778.62</v>
      </c>
      <c r="I215" s="5" t="str">
        <f>IF(fin_table[[#This Row],[Account Balance]]&lt;20000,"Active", "Not Active")</f>
        <v>Not Active</v>
      </c>
      <c r="J215" s="5">
        <v>21877.48</v>
      </c>
      <c r="K215" s="5" t="str">
        <f t="shared" si="23"/>
        <v>Medium</v>
      </c>
      <c r="L215" s="6" t="s">
        <v>49</v>
      </c>
      <c r="M215">
        <v>29</v>
      </c>
      <c r="N215" s="6" t="str">
        <f t="shared" si="24"/>
        <v>Adults</v>
      </c>
      <c r="O215" s="6" t="s">
        <v>42</v>
      </c>
      <c r="P215" s="6" t="s">
        <v>50</v>
      </c>
      <c r="Q215" t="s">
        <v>871</v>
      </c>
      <c r="R215" s="6" t="s">
        <v>28</v>
      </c>
      <c r="S215" s="6" t="s">
        <v>29</v>
      </c>
      <c r="T215" s="14">
        <v>4.0099999999999997E-2</v>
      </c>
      <c r="U215">
        <v>4.01</v>
      </c>
      <c r="V215" t="str">
        <f>IF(fin_table[[#This Row],[Interest Rate(%)]]&gt;4,"high","low")</f>
        <v>high</v>
      </c>
      <c r="W215" s="5">
        <v>37105.79</v>
      </c>
      <c r="X215" s="5">
        <f>fin_table[[#This Row],[Interest Rate]]*fin_table[[#This Row],[Loan Amount]]</f>
        <v>1487.9421789999999</v>
      </c>
      <c r="Y215">
        <v>13</v>
      </c>
      <c r="Z215" s="3">
        <v>554</v>
      </c>
      <c r="AA215" s="3" t="str">
        <f t="shared" si="25"/>
        <v>Poor</v>
      </c>
      <c r="AB215" s="3" cm="1">
        <f t="array" ref="AB215">_xlfn.IFS(fin_table[[#This Row],[Transaction Status]]="Failed", 1, fin_table[[#This Row],[Transaction Status]]="Completed",0,fin_table[[#This Row],[Transaction Status]]="Pending",2)</f>
        <v>1</v>
      </c>
      <c r="AC215" s="3" t="str">
        <f>IF(fin_table[[#This Row],[Loan Defaulters]]=1,"Default", "Good")</f>
        <v>Default</v>
      </c>
      <c r="AD215" s="3">
        <f t="shared" si="26"/>
        <v>1</v>
      </c>
      <c r="AE215" s="4">
        <v>8501.2000000000007</v>
      </c>
      <c r="AF215" s="4" t="str">
        <f>IF(fin_table[[#This Row],[Monthly Income]]&lt;3000, "Low Income", IF(fin_table[[#This Row],[Monthly Income]]&lt;=5000, "Middle Income", "High Income"))</f>
        <v>High Income</v>
      </c>
      <c r="AG215" t="s">
        <v>30</v>
      </c>
      <c r="AH215" t="s">
        <v>3636</v>
      </c>
      <c r="AI215" t="str">
        <f t="shared" si="27"/>
        <v>High-Risk</v>
      </c>
    </row>
    <row r="216" spans="1:35" x14ac:dyDescent="0.35">
      <c r="A216" t="s">
        <v>872</v>
      </c>
      <c r="B216" t="s">
        <v>873</v>
      </c>
      <c r="C216" t="s">
        <v>874</v>
      </c>
      <c r="D216" s="1">
        <v>44965</v>
      </c>
      <c r="E216" s="1" t="str">
        <f t="shared" si="21"/>
        <v>08</v>
      </c>
      <c r="F216" s="1" t="str">
        <f t="shared" si="22"/>
        <v>Feb</v>
      </c>
      <c r="G216" s="6" t="s">
        <v>56</v>
      </c>
      <c r="H216" s="5">
        <v>3037.6</v>
      </c>
      <c r="I216" s="5" t="str">
        <f>IF(fin_table[[#This Row],[Account Balance]]&lt;20000,"Active", "Not Active")</f>
        <v>Not Active</v>
      </c>
      <c r="J216" s="5">
        <v>27853.59</v>
      </c>
      <c r="K216" s="5" t="str">
        <f t="shared" si="23"/>
        <v>Medium</v>
      </c>
      <c r="L216" s="6" t="s">
        <v>24</v>
      </c>
      <c r="M216">
        <v>31</v>
      </c>
      <c r="N216" s="6" t="str">
        <f t="shared" si="24"/>
        <v>Adults</v>
      </c>
      <c r="O216" s="6" t="s">
        <v>25</v>
      </c>
      <c r="P216" s="6" t="s">
        <v>26</v>
      </c>
      <c r="Q216" t="s">
        <v>292</v>
      </c>
      <c r="R216" s="6" t="s">
        <v>28</v>
      </c>
      <c r="S216" s="6" t="s">
        <v>29</v>
      </c>
      <c r="T216" s="14">
        <v>2.1299999999999999E-2</v>
      </c>
      <c r="U216">
        <v>2.13</v>
      </c>
      <c r="V216" t="str">
        <f>IF(fin_table[[#This Row],[Interest Rate(%)]]&gt;4,"high","low")</f>
        <v>low</v>
      </c>
      <c r="W216" s="5">
        <v>5160.99</v>
      </c>
      <c r="X216" s="5">
        <f>fin_table[[#This Row],[Interest Rate]]*fin_table[[#This Row],[Loan Amount]]</f>
        <v>109.929087</v>
      </c>
      <c r="Y216">
        <v>13</v>
      </c>
      <c r="Z216" s="3">
        <v>413</v>
      </c>
      <c r="AA216" s="3" t="str">
        <f t="shared" si="25"/>
        <v>Poor</v>
      </c>
      <c r="AB216" s="3" cm="1">
        <f t="array" ref="AB216">_xlfn.IFS(fin_table[[#This Row],[Transaction Status]]="Failed", 1, fin_table[[#This Row],[Transaction Status]]="Completed",0,fin_table[[#This Row],[Transaction Status]]="Pending",2)</f>
        <v>1</v>
      </c>
      <c r="AC216" s="3" t="str">
        <f>IF(fin_table[[#This Row],[Loan Defaulters]]=1,"Default", "Good")</f>
        <v>Default</v>
      </c>
      <c r="AD216" s="3">
        <f t="shared" si="26"/>
        <v>1</v>
      </c>
      <c r="AE216" s="4">
        <v>3342.91</v>
      </c>
      <c r="AF216" s="4" t="str">
        <f>IF(fin_table[[#This Row],[Monthly Income]]&lt;3000, "Low Income", IF(fin_table[[#This Row],[Monthly Income]]&lt;=5000, "Middle Income", "High Income"))</f>
        <v>Middle Income</v>
      </c>
      <c r="AG216" t="s">
        <v>30</v>
      </c>
      <c r="AH216" t="s">
        <v>3636</v>
      </c>
      <c r="AI216" t="str">
        <f t="shared" si="27"/>
        <v>Low-Risk</v>
      </c>
    </row>
    <row r="217" spans="1:35" x14ac:dyDescent="0.35">
      <c r="A217" t="s">
        <v>875</v>
      </c>
      <c r="B217" t="s">
        <v>775</v>
      </c>
      <c r="C217" t="s">
        <v>876</v>
      </c>
      <c r="D217" s="1">
        <v>44677</v>
      </c>
      <c r="E217" s="1" t="str">
        <f t="shared" si="21"/>
        <v>26</v>
      </c>
      <c r="F217" s="1" t="str">
        <f t="shared" si="22"/>
        <v>Apr</v>
      </c>
      <c r="G217" s="6" t="s">
        <v>23</v>
      </c>
      <c r="H217" s="5">
        <v>7212.45</v>
      </c>
      <c r="I217" s="5" t="str">
        <f>IF(fin_table[[#This Row],[Account Balance]]&lt;20000,"Active", "Not Active")</f>
        <v>Not Active</v>
      </c>
      <c r="J217" s="5">
        <v>26532.59</v>
      </c>
      <c r="K217" s="5" t="str">
        <f t="shared" si="23"/>
        <v>Medium</v>
      </c>
      <c r="L217" s="6" t="s">
        <v>100</v>
      </c>
      <c r="M217">
        <v>65</v>
      </c>
      <c r="N217" s="6" t="str">
        <f t="shared" si="24"/>
        <v>Seniors</v>
      </c>
      <c r="O217" s="6" t="s">
        <v>42</v>
      </c>
      <c r="P217" s="6" t="s">
        <v>26</v>
      </c>
      <c r="Q217" t="s">
        <v>877</v>
      </c>
      <c r="R217" s="6" t="s">
        <v>52</v>
      </c>
      <c r="S217" s="6" t="s">
        <v>44</v>
      </c>
      <c r="T217" s="14">
        <v>1.8800000000000001E-2</v>
      </c>
      <c r="U217">
        <v>1.88</v>
      </c>
      <c r="V217" t="str">
        <f>IF(fin_table[[#This Row],[Interest Rate(%)]]&gt;4,"high","low")</f>
        <v>low</v>
      </c>
      <c r="W217" s="5">
        <v>26681.654999999999</v>
      </c>
      <c r="X217" s="5">
        <f>fin_table[[#This Row],[Interest Rate]]*fin_table[[#This Row],[Loan Amount]]</f>
        <v>501.61511400000001</v>
      </c>
      <c r="Y217">
        <v>2</v>
      </c>
      <c r="Z217" s="3">
        <v>803</v>
      </c>
      <c r="AA217" s="3" t="str">
        <f t="shared" si="25"/>
        <v>Excellent</v>
      </c>
      <c r="AB217" s="3" cm="1">
        <f t="array" ref="AB217">_xlfn.IFS(fin_table[[#This Row],[Transaction Status]]="Failed", 1, fin_table[[#This Row],[Transaction Status]]="Completed",0,fin_table[[#This Row],[Transaction Status]]="Pending",2)</f>
        <v>0</v>
      </c>
      <c r="AC217" s="3" t="str">
        <f>IF(fin_table[[#This Row],[Loan Defaulters]]=1,"Default", "Good")</f>
        <v>Good</v>
      </c>
      <c r="AD217" s="3">
        <f t="shared" si="26"/>
        <v>5</v>
      </c>
      <c r="AE217" s="4">
        <v>4569.42</v>
      </c>
      <c r="AF217" s="4" t="str">
        <f>IF(fin_table[[#This Row],[Monthly Income]]&lt;3000, "Low Income", IF(fin_table[[#This Row],[Monthly Income]]&lt;=5000, "Middle Income", "High Income"))</f>
        <v>Middle Income</v>
      </c>
      <c r="AG217" t="s">
        <v>45</v>
      </c>
      <c r="AH217" t="s">
        <v>3635</v>
      </c>
      <c r="AI217" t="str">
        <f t="shared" si="27"/>
        <v>Low-Risk</v>
      </c>
    </row>
    <row r="218" spans="1:35" x14ac:dyDescent="0.35">
      <c r="A218" t="s">
        <v>878</v>
      </c>
      <c r="B218" t="s">
        <v>879</v>
      </c>
      <c r="C218" t="s">
        <v>880</v>
      </c>
      <c r="D218" s="1">
        <v>44607</v>
      </c>
      <c r="E218" s="1" t="str">
        <f t="shared" si="21"/>
        <v>15</v>
      </c>
      <c r="F218" s="1" t="str">
        <f t="shared" si="22"/>
        <v>Feb</v>
      </c>
      <c r="G218" s="6" t="s">
        <v>56</v>
      </c>
      <c r="H218" s="5">
        <v>9544.93</v>
      </c>
      <c r="I218" s="5" t="str">
        <f>IF(fin_table[[#This Row],[Account Balance]]&lt;20000,"Active", "Not Active")</f>
        <v>Active</v>
      </c>
      <c r="J218" s="5">
        <v>18159.95</v>
      </c>
      <c r="K218" s="5" t="str">
        <f t="shared" si="23"/>
        <v>Medium</v>
      </c>
      <c r="L218" s="6" t="s">
        <v>49</v>
      </c>
      <c r="M218">
        <v>67</v>
      </c>
      <c r="N218" s="6" t="str">
        <f t="shared" si="24"/>
        <v>Seniors</v>
      </c>
      <c r="O218" s="6" t="s">
        <v>25</v>
      </c>
      <c r="P218" s="6" t="s">
        <v>36</v>
      </c>
      <c r="Q218" t="s">
        <v>570</v>
      </c>
      <c r="R218" s="6" t="s">
        <v>38</v>
      </c>
      <c r="S218" s="6" t="s">
        <v>44</v>
      </c>
      <c r="T218" s="14">
        <v>3.09E-2</v>
      </c>
      <c r="U218">
        <v>3.09</v>
      </c>
      <c r="V218" t="str">
        <f>IF(fin_table[[#This Row],[Interest Rate(%)]]&gt;4,"high","low")</f>
        <v>low</v>
      </c>
      <c r="W218" s="5">
        <v>5195.4799999999996</v>
      </c>
      <c r="X218" s="5">
        <f>fin_table[[#This Row],[Interest Rate]]*fin_table[[#This Row],[Loan Amount]]</f>
        <v>160.54033199999998</v>
      </c>
      <c r="Y218">
        <v>13</v>
      </c>
      <c r="Z218" s="3">
        <v>519</v>
      </c>
      <c r="AA218" s="3" t="str">
        <f t="shared" si="25"/>
        <v>Poor</v>
      </c>
      <c r="AB218" s="3" cm="1">
        <f t="array" ref="AB218">_xlfn.IFS(fin_table[[#This Row],[Transaction Status]]="Failed", 1, fin_table[[#This Row],[Transaction Status]]="Completed",0,fin_table[[#This Row],[Transaction Status]]="Pending",2)</f>
        <v>0</v>
      </c>
      <c r="AC218" s="3" t="str">
        <f>IF(fin_table[[#This Row],[Loan Defaulters]]=1,"Default", "Good")</f>
        <v>Good</v>
      </c>
      <c r="AD218" s="3">
        <f t="shared" si="26"/>
        <v>1</v>
      </c>
      <c r="AE218" s="4">
        <v>8235.2199999999993</v>
      </c>
      <c r="AF218" s="4" t="str">
        <f>IF(fin_table[[#This Row],[Monthly Income]]&lt;3000, "Low Income", IF(fin_table[[#This Row],[Monthly Income]]&lt;=5000, "Middle Income", "High Income"))</f>
        <v>High Income</v>
      </c>
      <c r="AG218" t="s">
        <v>30</v>
      </c>
      <c r="AH218" t="s">
        <v>3636</v>
      </c>
      <c r="AI218" t="str">
        <f t="shared" si="27"/>
        <v>Low-Risk</v>
      </c>
    </row>
    <row r="219" spans="1:35" x14ac:dyDescent="0.35">
      <c r="A219" t="s">
        <v>881</v>
      </c>
      <c r="B219" t="s">
        <v>882</v>
      </c>
      <c r="C219" t="s">
        <v>883</v>
      </c>
      <c r="D219" s="1">
        <v>44981</v>
      </c>
      <c r="E219" s="1" t="str">
        <f t="shared" si="21"/>
        <v>24</v>
      </c>
      <c r="F219" s="1" t="str">
        <f t="shared" si="22"/>
        <v>Feb</v>
      </c>
      <c r="G219" s="6" t="s">
        <v>71</v>
      </c>
      <c r="H219" s="5">
        <v>7241.8</v>
      </c>
      <c r="I219" s="5" t="str">
        <f>IF(fin_table[[#This Row],[Account Balance]]&lt;20000,"Active", "Not Active")</f>
        <v>Not Active</v>
      </c>
      <c r="J219" s="5">
        <v>34196.199999999997</v>
      </c>
      <c r="K219" s="5" t="str">
        <f t="shared" si="23"/>
        <v>Medium</v>
      </c>
      <c r="L219" s="6" t="s">
        <v>100</v>
      </c>
      <c r="M219">
        <v>38</v>
      </c>
      <c r="N219" s="6" t="str">
        <f t="shared" si="24"/>
        <v>Middle-Aged</v>
      </c>
      <c r="O219" s="6" t="s">
        <v>25</v>
      </c>
      <c r="P219" s="6" t="s">
        <v>36</v>
      </c>
      <c r="Q219" t="s">
        <v>105</v>
      </c>
      <c r="R219" s="6" t="s">
        <v>38</v>
      </c>
      <c r="S219" s="6" t="s">
        <v>44</v>
      </c>
      <c r="T219" s="14">
        <v>1.6199999999999999E-2</v>
      </c>
      <c r="U219">
        <v>1.62</v>
      </c>
      <c r="V219" t="str">
        <f>IF(fin_table[[#This Row],[Interest Rate(%)]]&gt;4,"high","low")</f>
        <v>low</v>
      </c>
      <c r="W219" s="5">
        <v>34039.379999999997</v>
      </c>
      <c r="X219" s="5">
        <f>fin_table[[#This Row],[Interest Rate]]*fin_table[[#This Row],[Loan Amount]]</f>
        <v>551.43795599999987</v>
      </c>
      <c r="Y219">
        <v>13</v>
      </c>
      <c r="Z219" s="3">
        <v>656</v>
      </c>
      <c r="AA219" s="3" t="str">
        <f t="shared" si="25"/>
        <v>Fair</v>
      </c>
      <c r="AB219" s="3" cm="1">
        <f t="array" ref="AB219">_xlfn.IFS(fin_table[[#This Row],[Transaction Status]]="Failed", 1, fin_table[[#This Row],[Transaction Status]]="Completed",0,fin_table[[#This Row],[Transaction Status]]="Pending",2)</f>
        <v>0</v>
      </c>
      <c r="AC219" s="3" t="str">
        <f>IF(fin_table[[#This Row],[Loan Defaulters]]=1,"Default", "Good")</f>
        <v>Good</v>
      </c>
      <c r="AD219" s="3">
        <f t="shared" si="26"/>
        <v>2</v>
      </c>
      <c r="AE219" s="4">
        <v>13538.66</v>
      </c>
      <c r="AF219" s="4" t="str">
        <f>IF(fin_table[[#This Row],[Monthly Income]]&lt;3000, "Low Income", IF(fin_table[[#This Row],[Monthly Income]]&lt;=5000, "Middle Income", "High Income"))</f>
        <v>High Income</v>
      </c>
      <c r="AG219" t="s">
        <v>63</v>
      </c>
      <c r="AH219" t="s">
        <v>3636</v>
      </c>
      <c r="AI219" t="str">
        <f t="shared" si="27"/>
        <v>Low-Risk</v>
      </c>
    </row>
    <row r="220" spans="1:35" x14ac:dyDescent="0.35">
      <c r="A220" t="s">
        <v>884</v>
      </c>
      <c r="B220" t="s">
        <v>885</v>
      </c>
      <c r="C220" t="s">
        <v>886</v>
      </c>
      <c r="D220" s="1">
        <v>44973</v>
      </c>
      <c r="E220" s="1" t="str">
        <f t="shared" si="21"/>
        <v>16</v>
      </c>
      <c r="F220" s="1" t="str">
        <f t="shared" si="22"/>
        <v>Feb</v>
      </c>
      <c r="G220" s="6" t="s">
        <v>56</v>
      </c>
      <c r="H220" s="5">
        <v>8642.52</v>
      </c>
      <c r="I220" s="5" t="str">
        <f>IF(fin_table[[#This Row],[Account Balance]]&lt;20000,"Active", "Not Active")</f>
        <v>Not Active</v>
      </c>
      <c r="J220" s="5">
        <v>38166.589999999997</v>
      </c>
      <c r="K220" s="5" t="str">
        <f t="shared" si="23"/>
        <v>Medium</v>
      </c>
      <c r="L220" s="6" t="s">
        <v>35</v>
      </c>
      <c r="M220">
        <v>39</v>
      </c>
      <c r="N220" s="6" t="str">
        <f t="shared" si="24"/>
        <v>Middle-Aged</v>
      </c>
      <c r="O220" s="6" t="s">
        <v>25</v>
      </c>
      <c r="P220" s="6" t="s">
        <v>50</v>
      </c>
      <c r="Q220" t="s">
        <v>887</v>
      </c>
      <c r="R220" s="6" t="s">
        <v>38</v>
      </c>
      <c r="S220" s="6" t="s">
        <v>62</v>
      </c>
      <c r="T220" s="14">
        <v>3.6700000000000003E-2</v>
      </c>
      <c r="U220">
        <v>3.67</v>
      </c>
      <c r="V220" t="str">
        <f>IF(fin_table[[#This Row],[Interest Rate(%)]]&gt;4,"high","low")</f>
        <v>low</v>
      </c>
      <c r="W220" s="5">
        <v>23782.42</v>
      </c>
      <c r="X220" s="5">
        <f>fin_table[[#This Row],[Interest Rate]]*fin_table[[#This Row],[Loan Amount]]</f>
        <v>872.81481400000007</v>
      </c>
      <c r="Y220">
        <v>13</v>
      </c>
      <c r="Z220" s="3">
        <v>468</v>
      </c>
      <c r="AA220" s="3" t="str">
        <f t="shared" si="25"/>
        <v>Poor</v>
      </c>
      <c r="AB220" s="3" cm="1">
        <f t="array" ref="AB220">_xlfn.IFS(fin_table[[#This Row],[Transaction Status]]="Failed", 1, fin_table[[#This Row],[Transaction Status]]="Completed",0,fin_table[[#This Row],[Transaction Status]]="Pending",2)</f>
        <v>2</v>
      </c>
      <c r="AC220" s="3" t="str">
        <f>IF(fin_table[[#This Row],[Loan Defaulters]]=1,"Default", "Good")</f>
        <v>Good</v>
      </c>
      <c r="AD220" s="3">
        <f t="shared" si="26"/>
        <v>1</v>
      </c>
      <c r="AE220" s="4">
        <v>9363.08</v>
      </c>
      <c r="AF220" s="4" t="str">
        <f>IF(fin_table[[#This Row],[Monthly Income]]&lt;3000, "Low Income", IF(fin_table[[#This Row],[Monthly Income]]&lt;=5000, "Middle Income", "High Income"))</f>
        <v>High Income</v>
      </c>
      <c r="AG220" t="s">
        <v>45</v>
      </c>
      <c r="AH220" t="s">
        <v>3636</v>
      </c>
      <c r="AI220" t="str">
        <f t="shared" si="27"/>
        <v>Low-Risk</v>
      </c>
    </row>
    <row r="221" spans="1:35" x14ac:dyDescent="0.35">
      <c r="A221" t="s">
        <v>888</v>
      </c>
      <c r="B221" t="s">
        <v>889</v>
      </c>
      <c r="C221" t="s">
        <v>890</v>
      </c>
      <c r="D221" s="1">
        <v>44776</v>
      </c>
      <c r="E221" s="1" t="str">
        <f t="shared" si="21"/>
        <v>03</v>
      </c>
      <c r="F221" s="1" t="str">
        <f t="shared" si="22"/>
        <v>Aug</v>
      </c>
      <c r="G221" s="6" t="s">
        <v>56</v>
      </c>
      <c r="H221" s="5">
        <v>120.83</v>
      </c>
      <c r="I221" s="5" t="str">
        <f>IF(fin_table[[#This Row],[Account Balance]]&lt;20000,"Active", "Not Active")</f>
        <v>Active</v>
      </c>
      <c r="J221" s="5">
        <v>1716.78</v>
      </c>
      <c r="K221" s="5" t="str">
        <f t="shared" si="23"/>
        <v>Low</v>
      </c>
      <c r="L221" s="6" t="s">
        <v>125</v>
      </c>
      <c r="M221">
        <v>38</v>
      </c>
      <c r="N221" s="6" t="str">
        <f t="shared" si="24"/>
        <v>Middle-Aged</v>
      </c>
      <c r="O221" s="6" t="s">
        <v>25</v>
      </c>
      <c r="P221" s="6" t="s">
        <v>50</v>
      </c>
      <c r="Q221" t="s">
        <v>485</v>
      </c>
      <c r="R221" s="6" t="s">
        <v>28</v>
      </c>
      <c r="S221" s="6" t="s">
        <v>29</v>
      </c>
      <c r="T221" s="14">
        <v>3.4200000000000001E-2</v>
      </c>
      <c r="U221">
        <v>3.42</v>
      </c>
      <c r="V221" t="str">
        <f>IF(fin_table[[#This Row],[Interest Rate(%)]]&gt;4,"high","low")</f>
        <v>low</v>
      </c>
      <c r="W221" s="5">
        <v>18389.599999999999</v>
      </c>
      <c r="X221" s="5">
        <f>fin_table[[#This Row],[Interest Rate]]*fin_table[[#This Row],[Loan Amount]]</f>
        <v>628.92431999999997</v>
      </c>
      <c r="Y221">
        <v>13</v>
      </c>
      <c r="Z221" s="3">
        <v>823</v>
      </c>
      <c r="AA221" s="3" t="str">
        <f t="shared" si="25"/>
        <v>Excellent</v>
      </c>
      <c r="AB221" s="3" cm="1">
        <f t="array" ref="AB221">_xlfn.IFS(fin_table[[#This Row],[Transaction Status]]="Failed", 1, fin_table[[#This Row],[Transaction Status]]="Completed",0,fin_table[[#This Row],[Transaction Status]]="Pending",2)</f>
        <v>1</v>
      </c>
      <c r="AC221" s="3" t="str">
        <f>IF(fin_table[[#This Row],[Loan Defaulters]]=1,"Default", "Good")</f>
        <v>Default</v>
      </c>
      <c r="AD221" s="3">
        <f t="shared" si="26"/>
        <v>5</v>
      </c>
      <c r="AE221" s="4">
        <v>10859.96</v>
      </c>
      <c r="AF221" s="4" t="str">
        <f>IF(fin_table[[#This Row],[Monthly Income]]&lt;3000, "Low Income", IF(fin_table[[#This Row],[Monthly Income]]&lt;=5000, "Middle Income", "High Income"))</f>
        <v>High Income</v>
      </c>
      <c r="AG221" t="s">
        <v>45</v>
      </c>
      <c r="AH221" t="s">
        <v>3636</v>
      </c>
      <c r="AI221" t="str">
        <f t="shared" si="27"/>
        <v>Low-Risk</v>
      </c>
    </row>
    <row r="222" spans="1:35" x14ac:dyDescent="0.35">
      <c r="A222" t="s">
        <v>891</v>
      </c>
      <c r="B222" t="s">
        <v>892</v>
      </c>
      <c r="C222" t="s">
        <v>893</v>
      </c>
      <c r="D222" s="1">
        <v>44713</v>
      </c>
      <c r="E222" s="1" t="str">
        <f t="shared" si="21"/>
        <v>01</v>
      </c>
      <c r="F222" s="1" t="str">
        <f t="shared" si="22"/>
        <v>Jun</v>
      </c>
      <c r="G222" s="6" t="s">
        <v>71</v>
      </c>
      <c r="H222" s="5">
        <v>7203.96</v>
      </c>
      <c r="I222" s="5" t="str">
        <f>IF(fin_table[[#This Row],[Account Balance]]&lt;20000,"Active", "Not Active")</f>
        <v>Active</v>
      </c>
      <c r="J222" s="5">
        <v>11154.87</v>
      </c>
      <c r="K222" s="5" t="str">
        <f t="shared" si="23"/>
        <v>Medium</v>
      </c>
      <c r="L222" s="6" t="s">
        <v>35</v>
      </c>
      <c r="M222">
        <v>61</v>
      </c>
      <c r="N222" s="6" t="str">
        <f t="shared" si="24"/>
        <v>Seniors</v>
      </c>
      <c r="O222" s="6" t="s">
        <v>42</v>
      </c>
      <c r="P222" s="6" t="s">
        <v>36</v>
      </c>
      <c r="Q222" t="s">
        <v>894</v>
      </c>
      <c r="R222" s="6" t="s">
        <v>38</v>
      </c>
      <c r="S222" s="6" t="s">
        <v>29</v>
      </c>
      <c r="T222" s="14">
        <v>1.35E-2</v>
      </c>
      <c r="U222">
        <v>1.35</v>
      </c>
      <c r="V222" t="str">
        <f>IF(fin_table[[#This Row],[Interest Rate(%)]]&gt;4,"high","low")</f>
        <v>low</v>
      </c>
      <c r="W222" s="5">
        <v>26681.654999999999</v>
      </c>
      <c r="X222" s="5">
        <f>fin_table[[#This Row],[Interest Rate]]*fin_table[[#This Row],[Loan Amount]]</f>
        <v>360.20234249999999</v>
      </c>
      <c r="Y222">
        <v>1</v>
      </c>
      <c r="Z222" s="3">
        <v>541</v>
      </c>
      <c r="AA222" s="3" t="str">
        <f t="shared" si="25"/>
        <v>Poor</v>
      </c>
      <c r="AB222" s="3" cm="1">
        <f t="array" ref="AB222">_xlfn.IFS(fin_table[[#This Row],[Transaction Status]]="Failed", 1, fin_table[[#This Row],[Transaction Status]]="Completed",0,fin_table[[#This Row],[Transaction Status]]="Pending",2)</f>
        <v>1</v>
      </c>
      <c r="AC222" s="3" t="str">
        <f>IF(fin_table[[#This Row],[Loan Defaulters]]=1,"Default", "Good")</f>
        <v>Default</v>
      </c>
      <c r="AD222" s="3">
        <f t="shared" si="26"/>
        <v>1</v>
      </c>
      <c r="AE222" s="4">
        <v>6407.37</v>
      </c>
      <c r="AF222" s="4" t="str">
        <f>IF(fin_table[[#This Row],[Monthly Income]]&lt;3000, "Low Income", IF(fin_table[[#This Row],[Monthly Income]]&lt;=5000, "Middle Income", "High Income"))</f>
        <v>High Income</v>
      </c>
      <c r="AG222" t="s">
        <v>45</v>
      </c>
      <c r="AH222" t="s">
        <v>3635</v>
      </c>
      <c r="AI222" t="str">
        <f t="shared" si="27"/>
        <v>Low-Risk</v>
      </c>
    </row>
    <row r="223" spans="1:35" x14ac:dyDescent="0.35">
      <c r="A223" t="s">
        <v>895</v>
      </c>
      <c r="B223" t="s">
        <v>896</v>
      </c>
      <c r="C223" t="s">
        <v>897</v>
      </c>
      <c r="D223" s="1">
        <v>45018</v>
      </c>
      <c r="E223" s="1" t="str">
        <f t="shared" si="21"/>
        <v>02</v>
      </c>
      <c r="F223" s="1" t="str">
        <f t="shared" si="22"/>
        <v>Apr</v>
      </c>
      <c r="G223" s="6" t="s">
        <v>56</v>
      </c>
      <c r="H223" s="5">
        <v>8312.92</v>
      </c>
      <c r="I223" s="5" t="str">
        <f>IF(fin_table[[#This Row],[Account Balance]]&lt;20000,"Active", "Not Active")</f>
        <v>Not Active</v>
      </c>
      <c r="J223" s="5">
        <v>35948.559999999998</v>
      </c>
      <c r="K223" s="5" t="str">
        <f t="shared" si="23"/>
        <v>Medium</v>
      </c>
      <c r="L223" s="6" t="s">
        <v>125</v>
      </c>
      <c r="M223">
        <v>67</v>
      </c>
      <c r="N223" s="6" t="str">
        <f t="shared" si="24"/>
        <v>Seniors</v>
      </c>
      <c r="O223" s="6" t="s">
        <v>42</v>
      </c>
      <c r="P223" s="6" t="s">
        <v>26</v>
      </c>
      <c r="Q223" t="s">
        <v>898</v>
      </c>
      <c r="R223" s="6" t="s">
        <v>52</v>
      </c>
      <c r="S223" s="6" t="s">
        <v>44</v>
      </c>
      <c r="T223" s="14">
        <v>1.15E-2</v>
      </c>
      <c r="U223">
        <v>1.1499999999999999</v>
      </c>
      <c r="V223" t="str">
        <f>IF(fin_table[[#This Row],[Interest Rate(%)]]&gt;4,"high","low")</f>
        <v>low</v>
      </c>
      <c r="W223" s="5">
        <v>26681.654999999999</v>
      </c>
      <c r="X223" s="5">
        <f>fin_table[[#This Row],[Interest Rate]]*fin_table[[#This Row],[Loan Amount]]</f>
        <v>306.83903249999997</v>
      </c>
      <c r="Y223">
        <v>13</v>
      </c>
      <c r="Z223" s="3">
        <v>674</v>
      </c>
      <c r="AA223" s="3" t="str">
        <f t="shared" si="25"/>
        <v>Good</v>
      </c>
      <c r="AB223" s="3" cm="1">
        <f t="array" ref="AB223">_xlfn.IFS(fin_table[[#This Row],[Transaction Status]]="Failed", 1, fin_table[[#This Row],[Transaction Status]]="Completed",0,fin_table[[#This Row],[Transaction Status]]="Pending",2)</f>
        <v>0</v>
      </c>
      <c r="AC223" s="3" t="str">
        <f>IF(fin_table[[#This Row],[Loan Defaulters]]=1,"Default", "Good")</f>
        <v>Good</v>
      </c>
      <c r="AD223" s="3">
        <f t="shared" si="26"/>
        <v>3</v>
      </c>
      <c r="AE223" s="4">
        <v>9428.35</v>
      </c>
      <c r="AF223" s="4" t="str">
        <f>IF(fin_table[[#This Row],[Monthly Income]]&lt;3000, "Low Income", IF(fin_table[[#This Row],[Monthly Income]]&lt;=5000, "Middle Income", "High Income"))</f>
        <v>High Income</v>
      </c>
      <c r="AG223" t="s">
        <v>30</v>
      </c>
      <c r="AH223" t="s">
        <v>3635</v>
      </c>
      <c r="AI223" t="str">
        <f t="shared" si="27"/>
        <v>Low-Risk</v>
      </c>
    </row>
    <row r="224" spans="1:35" x14ac:dyDescent="0.35">
      <c r="A224" t="s">
        <v>899</v>
      </c>
      <c r="B224" t="s">
        <v>900</v>
      </c>
      <c r="C224" t="s">
        <v>901</v>
      </c>
      <c r="D224" s="1">
        <v>44657</v>
      </c>
      <c r="E224" s="1" t="str">
        <f t="shared" si="21"/>
        <v>06</v>
      </c>
      <c r="F224" s="1" t="str">
        <f t="shared" si="22"/>
        <v>Apr</v>
      </c>
      <c r="G224" s="6" t="s">
        <v>71</v>
      </c>
      <c r="H224" s="5">
        <v>501.53</v>
      </c>
      <c r="I224" s="5" t="str">
        <f>IF(fin_table[[#This Row],[Account Balance]]&lt;20000,"Active", "Not Active")</f>
        <v>Active</v>
      </c>
      <c r="J224" s="5">
        <v>19944.39</v>
      </c>
      <c r="K224" s="5" t="str">
        <f t="shared" si="23"/>
        <v>Medium</v>
      </c>
      <c r="L224" s="6" t="s">
        <v>24</v>
      </c>
      <c r="M224">
        <v>47</v>
      </c>
      <c r="N224" s="6" t="str">
        <f t="shared" si="24"/>
        <v>Older Adults</v>
      </c>
      <c r="O224" s="6" t="s">
        <v>42</v>
      </c>
      <c r="P224" s="6" t="s">
        <v>26</v>
      </c>
      <c r="Q224" t="s">
        <v>902</v>
      </c>
      <c r="R224" s="6" t="s">
        <v>52</v>
      </c>
      <c r="S224" s="6" t="s">
        <v>44</v>
      </c>
      <c r="T224" s="14">
        <v>3.4799999999999998E-2</v>
      </c>
      <c r="U224">
        <v>3.48</v>
      </c>
      <c r="V224" t="str">
        <f>IF(fin_table[[#This Row],[Interest Rate(%)]]&gt;4,"high","low")</f>
        <v>low</v>
      </c>
      <c r="W224" s="5">
        <v>26681.654999999999</v>
      </c>
      <c r="X224" s="5">
        <f>fin_table[[#This Row],[Interest Rate]]*fin_table[[#This Row],[Loan Amount]]</f>
        <v>928.52159399999994</v>
      </c>
      <c r="Y224">
        <v>23</v>
      </c>
      <c r="Z224" s="3">
        <v>438</v>
      </c>
      <c r="AA224" s="3" t="str">
        <f t="shared" si="25"/>
        <v>Poor</v>
      </c>
      <c r="AB224" s="3" cm="1">
        <f t="array" ref="AB224">_xlfn.IFS(fin_table[[#This Row],[Transaction Status]]="Failed", 1, fin_table[[#This Row],[Transaction Status]]="Completed",0,fin_table[[#This Row],[Transaction Status]]="Pending",2)</f>
        <v>0</v>
      </c>
      <c r="AC224" s="3" t="str">
        <f>IF(fin_table[[#This Row],[Loan Defaulters]]=1,"Default", "Good")</f>
        <v>Good</v>
      </c>
      <c r="AD224" s="3">
        <f t="shared" si="26"/>
        <v>1</v>
      </c>
      <c r="AE224" s="4">
        <v>7815.94</v>
      </c>
      <c r="AF224" s="4" t="str">
        <f>IF(fin_table[[#This Row],[Monthly Income]]&lt;3000, "Low Income", IF(fin_table[[#This Row],[Monthly Income]]&lt;=5000, "Middle Income", "High Income"))</f>
        <v>High Income</v>
      </c>
      <c r="AG224" t="s">
        <v>63</v>
      </c>
      <c r="AH224" t="s">
        <v>3635</v>
      </c>
      <c r="AI224" t="str">
        <f t="shared" si="27"/>
        <v>Low-Risk</v>
      </c>
    </row>
    <row r="225" spans="1:35" x14ac:dyDescent="0.35">
      <c r="A225" t="s">
        <v>903</v>
      </c>
      <c r="B225" t="s">
        <v>904</v>
      </c>
      <c r="C225" t="s">
        <v>905</v>
      </c>
      <c r="D225" s="1">
        <v>44749</v>
      </c>
      <c r="E225" s="1" t="str">
        <f t="shared" si="21"/>
        <v>07</v>
      </c>
      <c r="F225" s="1" t="str">
        <f t="shared" si="22"/>
        <v>Jul</v>
      </c>
      <c r="G225" s="6" t="s">
        <v>71</v>
      </c>
      <c r="H225" s="5">
        <v>8728.82</v>
      </c>
      <c r="I225" s="5" t="str">
        <f>IF(fin_table[[#This Row],[Account Balance]]&lt;20000,"Active", "Not Active")</f>
        <v>Not Active</v>
      </c>
      <c r="J225" s="5">
        <v>33461.71</v>
      </c>
      <c r="K225" s="5" t="str">
        <f t="shared" si="23"/>
        <v>Medium</v>
      </c>
      <c r="L225" s="6" t="s">
        <v>49</v>
      </c>
      <c r="M225">
        <v>56</v>
      </c>
      <c r="N225" s="6" t="str">
        <f t="shared" si="24"/>
        <v>Older Adults</v>
      </c>
      <c r="O225" s="6" t="s">
        <v>25</v>
      </c>
      <c r="P225" s="6" t="s">
        <v>26</v>
      </c>
      <c r="Q225" t="s">
        <v>906</v>
      </c>
      <c r="R225" s="6" t="s">
        <v>38</v>
      </c>
      <c r="S225" s="6" t="s">
        <v>62</v>
      </c>
      <c r="T225" s="14">
        <v>2.18E-2</v>
      </c>
      <c r="U225">
        <v>2.1800000000000002</v>
      </c>
      <c r="V225" t="str">
        <f>IF(fin_table[[#This Row],[Interest Rate(%)]]&gt;4,"high","low")</f>
        <v>low</v>
      </c>
      <c r="W225" s="5">
        <v>47314.03</v>
      </c>
      <c r="X225" s="5">
        <f>fin_table[[#This Row],[Interest Rate]]*fin_table[[#This Row],[Loan Amount]]</f>
        <v>1031.4458540000001</v>
      </c>
      <c r="Y225">
        <v>13</v>
      </c>
      <c r="Z225" s="3">
        <v>396</v>
      </c>
      <c r="AA225" s="3" t="str">
        <f t="shared" si="25"/>
        <v>Poor</v>
      </c>
      <c r="AB225" s="3" cm="1">
        <f t="array" ref="AB225">_xlfn.IFS(fin_table[[#This Row],[Transaction Status]]="Failed", 1, fin_table[[#This Row],[Transaction Status]]="Completed",0,fin_table[[#This Row],[Transaction Status]]="Pending",2)</f>
        <v>2</v>
      </c>
      <c r="AC225" s="3" t="str">
        <f>IF(fin_table[[#This Row],[Loan Defaulters]]=1,"Default", "Good")</f>
        <v>Good</v>
      </c>
      <c r="AD225" s="3">
        <f t="shared" si="26"/>
        <v>1</v>
      </c>
      <c r="AE225" s="4">
        <v>10568.69</v>
      </c>
      <c r="AF225" s="4" t="str">
        <f>IF(fin_table[[#This Row],[Monthly Income]]&lt;3000, "Low Income", IF(fin_table[[#This Row],[Monthly Income]]&lt;=5000, "Middle Income", "High Income"))</f>
        <v>High Income</v>
      </c>
      <c r="AG225" t="s">
        <v>45</v>
      </c>
      <c r="AH225" t="s">
        <v>3636</v>
      </c>
      <c r="AI225" t="str">
        <f t="shared" si="27"/>
        <v>High-Risk</v>
      </c>
    </row>
    <row r="226" spans="1:35" x14ac:dyDescent="0.35">
      <c r="A226" t="s">
        <v>907</v>
      </c>
      <c r="B226" t="s">
        <v>908</v>
      </c>
      <c r="C226" t="s">
        <v>909</v>
      </c>
      <c r="D226" s="1">
        <v>44748</v>
      </c>
      <c r="E226" s="1" t="str">
        <f t="shared" si="21"/>
        <v>06</v>
      </c>
      <c r="F226" s="1" t="str">
        <f t="shared" si="22"/>
        <v>Jul</v>
      </c>
      <c r="G226" s="6" t="s">
        <v>23</v>
      </c>
      <c r="H226" s="5">
        <v>2641.27</v>
      </c>
      <c r="I226" s="5" t="str">
        <f>IF(fin_table[[#This Row],[Account Balance]]&lt;20000,"Active", "Not Active")</f>
        <v>Active</v>
      </c>
      <c r="J226" s="5">
        <v>18001.169999999998</v>
      </c>
      <c r="K226" s="5" t="str">
        <f t="shared" si="23"/>
        <v>Medium</v>
      </c>
      <c r="L226" s="6" t="s">
        <v>24</v>
      </c>
      <c r="M226">
        <v>37</v>
      </c>
      <c r="N226" s="6" t="str">
        <f t="shared" si="24"/>
        <v>Middle-Aged</v>
      </c>
      <c r="O226" s="6" t="s">
        <v>25</v>
      </c>
      <c r="P226" s="6" t="s">
        <v>50</v>
      </c>
      <c r="Q226" t="s">
        <v>910</v>
      </c>
      <c r="R226" s="6" t="s">
        <v>28</v>
      </c>
      <c r="S226" s="6" t="s">
        <v>29</v>
      </c>
      <c r="T226" s="14">
        <v>1.35E-2</v>
      </c>
      <c r="U226">
        <v>1.35</v>
      </c>
      <c r="V226" t="str">
        <f>IF(fin_table[[#This Row],[Interest Rate(%)]]&gt;4,"high","low")</f>
        <v>low</v>
      </c>
      <c r="W226" s="5">
        <v>24219.8</v>
      </c>
      <c r="X226" s="5">
        <f>fin_table[[#This Row],[Interest Rate]]*fin_table[[#This Row],[Loan Amount]]</f>
        <v>326.96729999999997</v>
      </c>
      <c r="Y226">
        <v>13</v>
      </c>
      <c r="Z226" s="3">
        <v>446</v>
      </c>
      <c r="AA226" s="3" t="str">
        <f t="shared" si="25"/>
        <v>Poor</v>
      </c>
      <c r="AB226" s="3" cm="1">
        <f t="array" ref="AB226">_xlfn.IFS(fin_table[[#This Row],[Transaction Status]]="Failed", 1, fin_table[[#This Row],[Transaction Status]]="Completed",0,fin_table[[#This Row],[Transaction Status]]="Pending",2)</f>
        <v>1</v>
      </c>
      <c r="AC226" s="3" t="str">
        <f>IF(fin_table[[#This Row],[Loan Defaulters]]=1,"Default", "Good")</f>
        <v>Default</v>
      </c>
      <c r="AD226" s="3">
        <f t="shared" si="26"/>
        <v>1</v>
      </c>
      <c r="AE226" s="4">
        <v>2657.48</v>
      </c>
      <c r="AF226" s="4" t="str">
        <f>IF(fin_table[[#This Row],[Monthly Income]]&lt;3000, "Low Income", IF(fin_table[[#This Row],[Monthly Income]]&lt;=5000, "Middle Income", "High Income"))</f>
        <v>Low Income</v>
      </c>
      <c r="AG226" t="s">
        <v>45</v>
      </c>
      <c r="AH226" t="s">
        <v>3636</v>
      </c>
      <c r="AI226" t="str">
        <f t="shared" si="27"/>
        <v>Low-Risk</v>
      </c>
    </row>
    <row r="227" spans="1:35" x14ac:dyDescent="0.35">
      <c r="A227" t="s">
        <v>911</v>
      </c>
      <c r="B227" t="s">
        <v>912</v>
      </c>
      <c r="C227" t="s">
        <v>913</v>
      </c>
      <c r="D227" s="1">
        <v>44702</v>
      </c>
      <c r="E227" s="1" t="str">
        <f t="shared" si="21"/>
        <v>21</v>
      </c>
      <c r="F227" s="1" t="str">
        <f t="shared" si="22"/>
        <v>May</v>
      </c>
      <c r="G227" s="6" t="s">
        <v>34</v>
      </c>
      <c r="H227" s="5">
        <v>6686.39</v>
      </c>
      <c r="I227" s="5" t="str">
        <f>IF(fin_table[[#This Row],[Account Balance]]&lt;20000,"Active", "Not Active")</f>
        <v>Not Active</v>
      </c>
      <c r="J227" s="5">
        <v>20147</v>
      </c>
      <c r="K227" s="5" t="str">
        <f t="shared" si="23"/>
        <v>Medium</v>
      </c>
      <c r="L227" s="6" t="s">
        <v>125</v>
      </c>
      <c r="M227">
        <v>41</v>
      </c>
      <c r="N227" s="6" t="str">
        <f t="shared" si="24"/>
        <v>Middle-Aged</v>
      </c>
      <c r="O227" s="6" t="s">
        <v>25</v>
      </c>
      <c r="P227" s="6" t="s">
        <v>26</v>
      </c>
      <c r="Q227" t="s">
        <v>493</v>
      </c>
      <c r="R227" s="6" t="s">
        <v>38</v>
      </c>
      <c r="S227" s="6" t="s">
        <v>62</v>
      </c>
      <c r="T227" s="14">
        <v>4.0399999999999998E-2</v>
      </c>
      <c r="U227">
        <v>4.04</v>
      </c>
      <c r="V227" t="str">
        <f>IF(fin_table[[#This Row],[Interest Rate(%)]]&gt;4,"high","low")</f>
        <v>high</v>
      </c>
      <c r="W227" s="5">
        <v>29961.22</v>
      </c>
      <c r="X227" s="5">
        <f>fin_table[[#This Row],[Interest Rate]]*fin_table[[#This Row],[Loan Amount]]</f>
        <v>1210.4332879999999</v>
      </c>
      <c r="Y227">
        <v>13</v>
      </c>
      <c r="Z227" s="3">
        <v>481</v>
      </c>
      <c r="AA227" s="3" t="str">
        <f t="shared" si="25"/>
        <v>Poor</v>
      </c>
      <c r="AB227" s="3" cm="1">
        <f t="array" ref="AB227">_xlfn.IFS(fin_table[[#This Row],[Transaction Status]]="Failed", 1, fin_table[[#This Row],[Transaction Status]]="Completed",0,fin_table[[#This Row],[Transaction Status]]="Pending",2)</f>
        <v>2</v>
      </c>
      <c r="AC227" s="3" t="str">
        <f>IF(fin_table[[#This Row],[Loan Defaulters]]=1,"Default", "Good")</f>
        <v>Good</v>
      </c>
      <c r="AD227" s="3">
        <f t="shared" si="26"/>
        <v>1</v>
      </c>
      <c r="AE227" s="4">
        <v>8412.9</v>
      </c>
      <c r="AF227" s="4" t="str">
        <f>IF(fin_table[[#This Row],[Monthly Income]]&lt;3000, "Low Income", IF(fin_table[[#This Row],[Monthly Income]]&lt;=5000, "Middle Income", "High Income"))</f>
        <v>High Income</v>
      </c>
      <c r="AG227" t="s">
        <v>30</v>
      </c>
      <c r="AH227" t="s">
        <v>3636</v>
      </c>
      <c r="AI227" t="str">
        <f t="shared" si="27"/>
        <v>Low-Risk</v>
      </c>
    </row>
    <row r="228" spans="1:35" x14ac:dyDescent="0.35">
      <c r="A228" t="s">
        <v>914</v>
      </c>
      <c r="B228" t="s">
        <v>915</v>
      </c>
      <c r="C228" t="s">
        <v>916</v>
      </c>
      <c r="D228" s="1">
        <v>44789</v>
      </c>
      <c r="E228" s="1" t="str">
        <f t="shared" si="21"/>
        <v>16</v>
      </c>
      <c r="F228" s="1" t="str">
        <f t="shared" si="22"/>
        <v>Aug</v>
      </c>
      <c r="G228" s="6" t="s">
        <v>34</v>
      </c>
      <c r="H228" s="5">
        <v>8023.51</v>
      </c>
      <c r="I228" s="5" t="str">
        <f>IF(fin_table[[#This Row],[Account Balance]]&lt;20000,"Active", "Not Active")</f>
        <v>Active</v>
      </c>
      <c r="J228" s="5">
        <v>8775.26</v>
      </c>
      <c r="K228" s="5" t="str">
        <f t="shared" si="23"/>
        <v>Low</v>
      </c>
      <c r="L228" s="6" t="s">
        <v>125</v>
      </c>
      <c r="M228">
        <v>40</v>
      </c>
      <c r="N228" s="6" t="str">
        <f t="shared" si="24"/>
        <v>Middle-Aged</v>
      </c>
      <c r="O228" s="6" t="s">
        <v>42</v>
      </c>
      <c r="P228" s="6" t="s">
        <v>26</v>
      </c>
      <c r="Q228" t="s">
        <v>917</v>
      </c>
      <c r="R228" s="6" t="s">
        <v>52</v>
      </c>
      <c r="S228" s="6" t="s">
        <v>29</v>
      </c>
      <c r="T228" s="14">
        <v>2.2599999999999999E-2</v>
      </c>
      <c r="U228">
        <v>2.2599999999999998</v>
      </c>
      <c r="V228" t="str">
        <f>IF(fin_table[[#This Row],[Interest Rate(%)]]&gt;4,"high","low")</f>
        <v>low</v>
      </c>
      <c r="W228" s="5">
        <v>26681.654999999999</v>
      </c>
      <c r="X228" s="5">
        <f>fin_table[[#This Row],[Interest Rate]]*fin_table[[#This Row],[Loan Amount]]</f>
        <v>603.00540299999989</v>
      </c>
      <c r="Y228">
        <v>29</v>
      </c>
      <c r="Z228" s="3">
        <v>356</v>
      </c>
      <c r="AA228" s="3" t="str">
        <f t="shared" si="25"/>
        <v>Poor</v>
      </c>
      <c r="AB228" s="3" cm="1">
        <f t="array" ref="AB228">_xlfn.IFS(fin_table[[#This Row],[Transaction Status]]="Failed", 1, fin_table[[#This Row],[Transaction Status]]="Completed",0,fin_table[[#This Row],[Transaction Status]]="Pending",2)</f>
        <v>1</v>
      </c>
      <c r="AC228" s="3" t="str">
        <f>IF(fin_table[[#This Row],[Loan Defaulters]]=1,"Default", "Good")</f>
        <v>Default</v>
      </c>
      <c r="AD228" s="3">
        <f t="shared" si="26"/>
        <v>1</v>
      </c>
      <c r="AE228" s="4">
        <v>5847.9</v>
      </c>
      <c r="AF228" s="4" t="str">
        <f>IF(fin_table[[#This Row],[Monthly Income]]&lt;3000, "Low Income", IF(fin_table[[#This Row],[Monthly Income]]&lt;=5000, "Middle Income", "High Income"))</f>
        <v>High Income</v>
      </c>
      <c r="AG228" t="s">
        <v>63</v>
      </c>
      <c r="AH228" t="s">
        <v>3635</v>
      </c>
      <c r="AI228" t="str">
        <f t="shared" si="27"/>
        <v>Low-Risk</v>
      </c>
    </row>
    <row r="229" spans="1:35" x14ac:dyDescent="0.35">
      <c r="A229" t="s">
        <v>918</v>
      </c>
      <c r="B229" t="s">
        <v>919</v>
      </c>
      <c r="C229" t="s">
        <v>920</v>
      </c>
      <c r="D229" s="1">
        <v>44690</v>
      </c>
      <c r="E229" s="1" t="str">
        <f t="shared" si="21"/>
        <v>09</v>
      </c>
      <c r="F229" s="1" t="str">
        <f t="shared" si="22"/>
        <v>May</v>
      </c>
      <c r="G229" s="6" t="s">
        <v>56</v>
      </c>
      <c r="H229" s="5">
        <v>6660.38</v>
      </c>
      <c r="I229" s="5" t="str">
        <f>IF(fin_table[[#This Row],[Account Balance]]&lt;20000,"Active", "Not Active")</f>
        <v>Active</v>
      </c>
      <c r="J229" s="5">
        <v>13653.32</v>
      </c>
      <c r="K229" s="5" t="str">
        <f t="shared" si="23"/>
        <v>Medium</v>
      </c>
      <c r="L229" s="6" t="s">
        <v>125</v>
      </c>
      <c r="M229">
        <v>24</v>
      </c>
      <c r="N229" s="6" t="str">
        <f t="shared" si="24"/>
        <v>Young Adults</v>
      </c>
      <c r="O229" s="6" t="s">
        <v>25</v>
      </c>
      <c r="P229" s="6" t="s">
        <v>36</v>
      </c>
      <c r="Q229" t="s">
        <v>921</v>
      </c>
      <c r="R229" s="6" t="s">
        <v>52</v>
      </c>
      <c r="S229" s="6" t="s">
        <v>62</v>
      </c>
      <c r="T229" s="14">
        <v>2.8400000000000002E-2</v>
      </c>
      <c r="U229">
        <v>2.84</v>
      </c>
      <c r="V229" t="str">
        <f>IF(fin_table[[#This Row],[Interest Rate(%)]]&gt;4,"high","low")</f>
        <v>low</v>
      </c>
      <c r="W229" s="5">
        <v>26681.654999999999</v>
      </c>
      <c r="X229" s="5">
        <f>fin_table[[#This Row],[Interest Rate]]*fin_table[[#This Row],[Loan Amount]]</f>
        <v>757.75900200000001</v>
      </c>
      <c r="Y229">
        <v>5</v>
      </c>
      <c r="Z229" s="3">
        <v>341</v>
      </c>
      <c r="AA229" s="3" t="str">
        <f t="shared" si="25"/>
        <v>Poor</v>
      </c>
      <c r="AB229" s="3" cm="1">
        <f t="array" ref="AB229">_xlfn.IFS(fin_table[[#This Row],[Transaction Status]]="Failed", 1, fin_table[[#This Row],[Transaction Status]]="Completed",0,fin_table[[#This Row],[Transaction Status]]="Pending",2)</f>
        <v>2</v>
      </c>
      <c r="AC229" s="3" t="str">
        <f>IF(fin_table[[#This Row],[Loan Defaulters]]=1,"Default", "Good")</f>
        <v>Good</v>
      </c>
      <c r="AD229" s="3">
        <f t="shared" si="26"/>
        <v>1</v>
      </c>
      <c r="AE229" s="4">
        <v>6240.41</v>
      </c>
      <c r="AF229" s="4" t="str">
        <f>IF(fin_table[[#This Row],[Monthly Income]]&lt;3000, "Low Income", IF(fin_table[[#This Row],[Monthly Income]]&lt;=5000, "Middle Income", "High Income"))</f>
        <v>High Income</v>
      </c>
      <c r="AG229" t="s">
        <v>45</v>
      </c>
      <c r="AH229" t="s">
        <v>3635</v>
      </c>
      <c r="AI229" t="str">
        <f t="shared" si="27"/>
        <v>Low-Risk</v>
      </c>
    </row>
    <row r="230" spans="1:35" x14ac:dyDescent="0.35">
      <c r="A230" t="s">
        <v>922</v>
      </c>
      <c r="B230" t="s">
        <v>923</v>
      </c>
      <c r="C230" t="s">
        <v>924</v>
      </c>
      <c r="D230" s="1">
        <v>44764</v>
      </c>
      <c r="E230" s="1" t="str">
        <f t="shared" si="21"/>
        <v>22</v>
      </c>
      <c r="F230" s="1" t="str">
        <f t="shared" si="22"/>
        <v>Jul</v>
      </c>
      <c r="G230" s="6" t="s">
        <v>56</v>
      </c>
      <c r="H230" s="5">
        <v>1013.62</v>
      </c>
      <c r="I230" s="5" t="str">
        <f>IF(fin_table[[#This Row],[Account Balance]]&lt;20000,"Active", "Not Active")</f>
        <v>Not Active</v>
      </c>
      <c r="J230" s="5">
        <v>30665.18</v>
      </c>
      <c r="K230" s="5" t="str">
        <f t="shared" si="23"/>
        <v>Medium</v>
      </c>
      <c r="L230" s="6" t="s">
        <v>100</v>
      </c>
      <c r="M230">
        <v>26</v>
      </c>
      <c r="N230" s="6" t="str">
        <f t="shared" si="24"/>
        <v>Adults</v>
      </c>
      <c r="O230" s="6" t="s">
        <v>42</v>
      </c>
      <c r="P230" s="6" t="s">
        <v>26</v>
      </c>
      <c r="Q230" t="s">
        <v>925</v>
      </c>
      <c r="R230" s="6" t="s">
        <v>52</v>
      </c>
      <c r="S230" s="6" t="s">
        <v>44</v>
      </c>
      <c r="T230" s="14">
        <v>1.95E-2</v>
      </c>
      <c r="U230">
        <v>1.95</v>
      </c>
      <c r="V230" t="str">
        <f>IF(fin_table[[#This Row],[Interest Rate(%)]]&gt;4,"high","low")</f>
        <v>low</v>
      </c>
      <c r="W230" s="5">
        <v>26681.654999999999</v>
      </c>
      <c r="X230" s="5">
        <f>fin_table[[#This Row],[Interest Rate]]*fin_table[[#This Row],[Loan Amount]]</f>
        <v>520.29227249999997</v>
      </c>
      <c r="Y230">
        <v>13</v>
      </c>
      <c r="Z230" s="3">
        <v>842</v>
      </c>
      <c r="AA230" s="3" t="str">
        <f t="shared" si="25"/>
        <v>Excellent</v>
      </c>
      <c r="AB230" s="3" cm="1">
        <f t="array" ref="AB230">_xlfn.IFS(fin_table[[#This Row],[Transaction Status]]="Failed", 1, fin_table[[#This Row],[Transaction Status]]="Completed",0,fin_table[[#This Row],[Transaction Status]]="Pending",2)</f>
        <v>0</v>
      </c>
      <c r="AC230" s="3" t="str">
        <f>IF(fin_table[[#This Row],[Loan Defaulters]]=1,"Default", "Good")</f>
        <v>Good</v>
      </c>
      <c r="AD230" s="3">
        <f t="shared" si="26"/>
        <v>5</v>
      </c>
      <c r="AE230" s="4">
        <v>14491.93</v>
      </c>
      <c r="AF230" s="4" t="str">
        <f>IF(fin_table[[#This Row],[Monthly Income]]&lt;3000, "Low Income", IF(fin_table[[#This Row],[Monthly Income]]&lt;=5000, "Middle Income", "High Income"))</f>
        <v>High Income</v>
      </c>
      <c r="AG230" t="s">
        <v>30</v>
      </c>
      <c r="AH230" t="s">
        <v>3635</v>
      </c>
      <c r="AI230" t="str">
        <f t="shared" si="27"/>
        <v>Low-Risk</v>
      </c>
    </row>
    <row r="231" spans="1:35" x14ac:dyDescent="0.35">
      <c r="A231" t="s">
        <v>926</v>
      </c>
      <c r="B231" t="s">
        <v>927</v>
      </c>
      <c r="C231" t="s">
        <v>928</v>
      </c>
      <c r="D231" s="1">
        <v>45054</v>
      </c>
      <c r="E231" s="1" t="str">
        <f t="shared" si="21"/>
        <v>08</v>
      </c>
      <c r="F231" s="1" t="str">
        <f t="shared" si="22"/>
        <v>May</v>
      </c>
      <c r="G231" s="6" t="s">
        <v>23</v>
      </c>
      <c r="H231" s="5">
        <v>6003.58</v>
      </c>
      <c r="I231" s="5" t="str">
        <f>IF(fin_table[[#This Row],[Account Balance]]&lt;20000,"Active", "Not Active")</f>
        <v>Not Active</v>
      </c>
      <c r="J231" s="5">
        <v>22224.99</v>
      </c>
      <c r="K231" s="5" t="str">
        <f t="shared" si="23"/>
        <v>Medium</v>
      </c>
      <c r="L231" s="6" t="s">
        <v>49</v>
      </c>
      <c r="M231">
        <v>18</v>
      </c>
      <c r="N231" s="6" t="str">
        <f t="shared" si="24"/>
        <v>Young Adults</v>
      </c>
      <c r="O231" s="6" t="s">
        <v>42</v>
      </c>
      <c r="P231" s="6" t="s">
        <v>36</v>
      </c>
      <c r="Q231" t="s">
        <v>929</v>
      </c>
      <c r="R231" s="6" t="s">
        <v>38</v>
      </c>
      <c r="S231" s="6" t="s">
        <v>62</v>
      </c>
      <c r="T231" s="14">
        <v>3.5099999999999999E-2</v>
      </c>
      <c r="U231">
        <v>3.51</v>
      </c>
      <c r="V231" t="str">
        <f>IF(fin_table[[#This Row],[Interest Rate(%)]]&gt;4,"high","low")</f>
        <v>low</v>
      </c>
      <c r="W231" s="5">
        <v>26681.654999999999</v>
      </c>
      <c r="X231" s="5">
        <f>fin_table[[#This Row],[Interest Rate]]*fin_table[[#This Row],[Loan Amount]]</f>
        <v>936.5260904999999</v>
      </c>
      <c r="Y231">
        <v>12</v>
      </c>
      <c r="Z231" s="3">
        <v>301</v>
      </c>
      <c r="AA231" s="3" t="str">
        <f t="shared" si="25"/>
        <v>Poor</v>
      </c>
      <c r="AB231" s="3" cm="1">
        <f t="array" ref="AB231">_xlfn.IFS(fin_table[[#This Row],[Transaction Status]]="Failed", 1, fin_table[[#This Row],[Transaction Status]]="Completed",0,fin_table[[#This Row],[Transaction Status]]="Pending",2)</f>
        <v>2</v>
      </c>
      <c r="AC231" s="3" t="str">
        <f>IF(fin_table[[#This Row],[Loan Defaulters]]=1,"Default", "Good")</f>
        <v>Good</v>
      </c>
      <c r="AD231" s="3">
        <f t="shared" si="26"/>
        <v>1</v>
      </c>
      <c r="AE231" s="4">
        <v>4375.03</v>
      </c>
      <c r="AF231" s="4" t="str">
        <f>IF(fin_table[[#This Row],[Monthly Income]]&lt;3000, "Low Income", IF(fin_table[[#This Row],[Monthly Income]]&lt;=5000, "Middle Income", "High Income"))</f>
        <v>Middle Income</v>
      </c>
      <c r="AG231" t="s">
        <v>45</v>
      </c>
      <c r="AH231" t="s">
        <v>3635</v>
      </c>
      <c r="AI231" t="str">
        <f t="shared" si="27"/>
        <v>Low-Risk</v>
      </c>
    </row>
    <row r="232" spans="1:35" x14ac:dyDescent="0.35">
      <c r="A232" t="s">
        <v>930</v>
      </c>
      <c r="B232" t="s">
        <v>931</v>
      </c>
      <c r="C232" t="s">
        <v>932</v>
      </c>
      <c r="D232" s="1">
        <v>45113</v>
      </c>
      <c r="E232" s="1" t="str">
        <f t="shared" si="21"/>
        <v>06</v>
      </c>
      <c r="F232" s="1" t="str">
        <f t="shared" si="22"/>
        <v>Jul</v>
      </c>
      <c r="G232" s="6" t="s">
        <v>23</v>
      </c>
      <c r="H232" s="5">
        <v>5540.88</v>
      </c>
      <c r="I232" s="5" t="str">
        <f>IF(fin_table[[#This Row],[Account Balance]]&lt;20000,"Active", "Not Active")</f>
        <v>Not Active</v>
      </c>
      <c r="J232" s="5">
        <v>38940.83</v>
      </c>
      <c r="K232" s="5" t="str">
        <f t="shared" si="23"/>
        <v>Medium</v>
      </c>
      <c r="L232" s="6" t="s">
        <v>24</v>
      </c>
      <c r="M232">
        <v>43</v>
      </c>
      <c r="N232" s="6" t="str">
        <f t="shared" si="24"/>
        <v>Middle-Aged</v>
      </c>
      <c r="O232" s="6" t="s">
        <v>25</v>
      </c>
      <c r="P232" s="6" t="s">
        <v>26</v>
      </c>
      <c r="Q232" t="s">
        <v>933</v>
      </c>
      <c r="R232" s="6" t="s">
        <v>52</v>
      </c>
      <c r="S232" s="6" t="s">
        <v>62</v>
      </c>
      <c r="T232" s="14">
        <v>2.2100000000000002E-2</v>
      </c>
      <c r="U232">
        <v>2.21</v>
      </c>
      <c r="V232" t="str">
        <f>IF(fin_table[[#This Row],[Interest Rate(%)]]&gt;4,"high","low")</f>
        <v>low</v>
      </c>
      <c r="W232" s="5">
        <v>26681.654999999999</v>
      </c>
      <c r="X232" s="5">
        <f>fin_table[[#This Row],[Interest Rate]]*fin_table[[#This Row],[Loan Amount]]</f>
        <v>589.66457550000007</v>
      </c>
      <c r="Y232">
        <v>13</v>
      </c>
      <c r="Z232" s="3">
        <v>587</v>
      </c>
      <c r="AA232" s="3" t="str">
        <f t="shared" si="25"/>
        <v>Fair</v>
      </c>
      <c r="AB232" s="3" cm="1">
        <f t="array" ref="AB232">_xlfn.IFS(fin_table[[#This Row],[Transaction Status]]="Failed", 1, fin_table[[#This Row],[Transaction Status]]="Completed",0,fin_table[[#This Row],[Transaction Status]]="Pending",2)</f>
        <v>2</v>
      </c>
      <c r="AC232" s="3" t="str">
        <f>IF(fin_table[[#This Row],[Loan Defaulters]]=1,"Default", "Good")</f>
        <v>Good</v>
      </c>
      <c r="AD232" s="3">
        <f t="shared" si="26"/>
        <v>2</v>
      </c>
      <c r="AE232" s="4">
        <v>6046.19</v>
      </c>
      <c r="AF232" s="4" t="str">
        <f>IF(fin_table[[#This Row],[Monthly Income]]&lt;3000, "Low Income", IF(fin_table[[#This Row],[Monthly Income]]&lt;=5000, "Middle Income", "High Income"))</f>
        <v>High Income</v>
      </c>
      <c r="AG232" t="s">
        <v>30</v>
      </c>
      <c r="AH232" t="s">
        <v>3635</v>
      </c>
      <c r="AI232" t="str">
        <f t="shared" si="27"/>
        <v>Low-Risk</v>
      </c>
    </row>
    <row r="233" spans="1:35" x14ac:dyDescent="0.35">
      <c r="A233" t="s">
        <v>934</v>
      </c>
      <c r="B233" t="s">
        <v>935</v>
      </c>
      <c r="C233" t="s">
        <v>936</v>
      </c>
      <c r="D233" s="1">
        <v>44966</v>
      </c>
      <c r="E233" s="1" t="str">
        <f t="shared" si="21"/>
        <v>09</v>
      </c>
      <c r="F233" s="1" t="str">
        <f t="shared" si="22"/>
        <v>Feb</v>
      </c>
      <c r="G233" s="6" t="s">
        <v>23</v>
      </c>
      <c r="H233" s="5">
        <v>9013.18</v>
      </c>
      <c r="I233" s="5" t="str">
        <f>IF(fin_table[[#This Row],[Account Balance]]&lt;20000,"Active", "Not Active")</f>
        <v>Not Active</v>
      </c>
      <c r="J233" s="5">
        <v>42776.66</v>
      </c>
      <c r="K233" s="5" t="str">
        <f t="shared" si="23"/>
        <v>Medium</v>
      </c>
      <c r="L233" s="6" t="s">
        <v>24</v>
      </c>
      <c r="M233">
        <v>55</v>
      </c>
      <c r="N233" s="6" t="str">
        <f t="shared" si="24"/>
        <v>Older Adults</v>
      </c>
      <c r="O233" s="6" t="s">
        <v>25</v>
      </c>
      <c r="P233" s="6" t="s">
        <v>50</v>
      </c>
      <c r="Q233" t="s">
        <v>937</v>
      </c>
      <c r="R233" s="6" t="s">
        <v>28</v>
      </c>
      <c r="S233" s="6" t="s">
        <v>44</v>
      </c>
      <c r="T233" s="14">
        <v>4.87E-2</v>
      </c>
      <c r="U233">
        <v>4.87</v>
      </c>
      <c r="V233" t="str">
        <f>IF(fin_table[[#This Row],[Interest Rate(%)]]&gt;4,"high","low")</f>
        <v>high</v>
      </c>
      <c r="W233" s="5">
        <v>24011.54</v>
      </c>
      <c r="X233" s="5">
        <f>fin_table[[#This Row],[Interest Rate]]*fin_table[[#This Row],[Loan Amount]]</f>
        <v>1169.3619980000001</v>
      </c>
      <c r="Y233">
        <v>26</v>
      </c>
      <c r="Z233" s="3">
        <v>437</v>
      </c>
      <c r="AA233" s="3" t="str">
        <f t="shared" si="25"/>
        <v>Poor</v>
      </c>
      <c r="AB233" s="3" cm="1">
        <f t="array" ref="AB233">_xlfn.IFS(fin_table[[#This Row],[Transaction Status]]="Failed", 1, fin_table[[#This Row],[Transaction Status]]="Completed",0,fin_table[[#This Row],[Transaction Status]]="Pending",2)</f>
        <v>0</v>
      </c>
      <c r="AC233" s="3" t="str">
        <f>IF(fin_table[[#This Row],[Loan Defaulters]]=1,"Default", "Good")</f>
        <v>Good</v>
      </c>
      <c r="AD233" s="3">
        <f t="shared" si="26"/>
        <v>1</v>
      </c>
      <c r="AE233" s="4">
        <v>8628.6</v>
      </c>
      <c r="AF233" s="4" t="str">
        <f>IF(fin_table[[#This Row],[Monthly Income]]&lt;3000, "Low Income", IF(fin_table[[#This Row],[Monthly Income]]&lt;=5000, "Middle Income", "High Income"))</f>
        <v>High Income</v>
      </c>
      <c r="AG233" t="s">
        <v>63</v>
      </c>
      <c r="AH233" t="s">
        <v>3636</v>
      </c>
      <c r="AI233" t="str">
        <f t="shared" si="27"/>
        <v>Low-Risk</v>
      </c>
    </row>
    <row r="234" spans="1:35" x14ac:dyDescent="0.35">
      <c r="A234" t="s">
        <v>938</v>
      </c>
      <c r="B234" t="s">
        <v>939</v>
      </c>
      <c r="C234" t="s">
        <v>940</v>
      </c>
      <c r="D234" s="1">
        <v>44869</v>
      </c>
      <c r="E234" s="1" t="str">
        <f t="shared" si="21"/>
        <v>04</v>
      </c>
      <c r="F234" s="1" t="str">
        <f t="shared" si="22"/>
        <v>Nov</v>
      </c>
      <c r="G234" s="6" t="s">
        <v>71</v>
      </c>
      <c r="H234" s="5">
        <v>4101.97</v>
      </c>
      <c r="I234" s="5" t="str">
        <f>IF(fin_table[[#This Row],[Account Balance]]&lt;20000,"Active", "Not Active")</f>
        <v>Not Active</v>
      </c>
      <c r="J234" s="5">
        <v>27540.67</v>
      </c>
      <c r="K234" s="5" t="str">
        <f t="shared" si="23"/>
        <v>Medium</v>
      </c>
      <c r="L234" s="6" t="s">
        <v>35</v>
      </c>
      <c r="M234">
        <v>55</v>
      </c>
      <c r="N234" s="6" t="str">
        <f t="shared" si="24"/>
        <v>Older Adults</v>
      </c>
      <c r="O234" s="6" t="s">
        <v>42</v>
      </c>
      <c r="P234" s="6" t="s">
        <v>26</v>
      </c>
      <c r="Q234" t="s">
        <v>941</v>
      </c>
      <c r="R234" s="6" t="s">
        <v>38</v>
      </c>
      <c r="S234" s="6" t="s">
        <v>29</v>
      </c>
      <c r="T234" s="14">
        <v>3.8100000000000002E-2</v>
      </c>
      <c r="U234">
        <v>3.81</v>
      </c>
      <c r="V234" t="str">
        <f>IF(fin_table[[#This Row],[Interest Rate(%)]]&gt;4,"high","low")</f>
        <v>low</v>
      </c>
      <c r="W234" s="5">
        <v>26681.654999999999</v>
      </c>
      <c r="X234" s="5">
        <f>fin_table[[#This Row],[Interest Rate]]*fin_table[[#This Row],[Loan Amount]]</f>
        <v>1016.5710555000001</v>
      </c>
      <c r="Y234">
        <v>29</v>
      </c>
      <c r="Z234" s="3">
        <v>811</v>
      </c>
      <c r="AA234" s="3" t="str">
        <f t="shared" si="25"/>
        <v>Excellent</v>
      </c>
      <c r="AB234" s="3" cm="1">
        <f t="array" ref="AB234">_xlfn.IFS(fin_table[[#This Row],[Transaction Status]]="Failed", 1, fin_table[[#This Row],[Transaction Status]]="Completed",0,fin_table[[#This Row],[Transaction Status]]="Pending",2)</f>
        <v>1</v>
      </c>
      <c r="AC234" s="3" t="str">
        <f>IF(fin_table[[#This Row],[Loan Defaulters]]=1,"Default", "Good")</f>
        <v>Default</v>
      </c>
      <c r="AD234" s="3">
        <f t="shared" si="26"/>
        <v>5</v>
      </c>
      <c r="AE234" s="4">
        <v>13219.35</v>
      </c>
      <c r="AF234" s="4" t="str">
        <f>IF(fin_table[[#This Row],[Monthly Income]]&lt;3000, "Low Income", IF(fin_table[[#This Row],[Monthly Income]]&lt;=5000, "Middle Income", "High Income"))</f>
        <v>High Income</v>
      </c>
      <c r="AG234" t="s">
        <v>30</v>
      </c>
      <c r="AH234" t="s">
        <v>3635</v>
      </c>
      <c r="AI234" t="str">
        <f t="shared" si="27"/>
        <v>Low-Risk</v>
      </c>
    </row>
    <row r="235" spans="1:35" x14ac:dyDescent="0.35">
      <c r="A235" t="s">
        <v>942</v>
      </c>
      <c r="B235" t="s">
        <v>943</v>
      </c>
      <c r="C235" t="s">
        <v>944</v>
      </c>
      <c r="D235" s="1">
        <v>44778</v>
      </c>
      <c r="E235" s="1" t="str">
        <f t="shared" si="21"/>
        <v>05</v>
      </c>
      <c r="F235" s="1" t="str">
        <f t="shared" si="22"/>
        <v>Aug</v>
      </c>
      <c r="G235" s="6" t="s">
        <v>23</v>
      </c>
      <c r="H235" s="5">
        <v>3278.7</v>
      </c>
      <c r="I235" s="5" t="str">
        <f>IF(fin_table[[#This Row],[Account Balance]]&lt;20000,"Active", "Not Active")</f>
        <v>Not Active</v>
      </c>
      <c r="J235" s="5">
        <v>38155.1</v>
      </c>
      <c r="K235" s="5" t="str">
        <f t="shared" si="23"/>
        <v>Medium</v>
      </c>
      <c r="L235" s="6" t="s">
        <v>125</v>
      </c>
      <c r="M235">
        <v>61</v>
      </c>
      <c r="N235" s="6" t="str">
        <f t="shared" si="24"/>
        <v>Seniors</v>
      </c>
      <c r="O235" s="6" t="s">
        <v>42</v>
      </c>
      <c r="P235" s="6" t="s">
        <v>26</v>
      </c>
      <c r="Q235" t="s">
        <v>945</v>
      </c>
      <c r="R235" s="6" t="s">
        <v>38</v>
      </c>
      <c r="S235" s="6" t="s">
        <v>29</v>
      </c>
      <c r="T235" s="14">
        <v>1.55E-2</v>
      </c>
      <c r="U235">
        <v>1.55</v>
      </c>
      <c r="V235" t="str">
        <f>IF(fin_table[[#This Row],[Interest Rate(%)]]&gt;4,"high","low")</f>
        <v>low</v>
      </c>
      <c r="W235" s="5">
        <v>26681.654999999999</v>
      </c>
      <c r="X235" s="5">
        <f>fin_table[[#This Row],[Interest Rate]]*fin_table[[#This Row],[Loan Amount]]</f>
        <v>413.5656525</v>
      </c>
      <c r="Y235">
        <v>28</v>
      </c>
      <c r="Z235" s="3">
        <v>521</v>
      </c>
      <c r="AA235" s="3" t="str">
        <f t="shared" si="25"/>
        <v>Poor</v>
      </c>
      <c r="AB235" s="3" cm="1">
        <f t="array" ref="AB235">_xlfn.IFS(fin_table[[#This Row],[Transaction Status]]="Failed", 1, fin_table[[#This Row],[Transaction Status]]="Completed",0,fin_table[[#This Row],[Transaction Status]]="Pending",2)</f>
        <v>1</v>
      </c>
      <c r="AC235" s="3" t="str">
        <f>IF(fin_table[[#This Row],[Loan Defaulters]]=1,"Default", "Good")</f>
        <v>Default</v>
      </c>
      <c r="AD235" s="3">
        <f t="shared" si="26"/>
        <v>1</v>
      </c>
      <c r="AE235" s="4">
        <v>7416.71</v>
      </c>
      <c r="AF235" s="4" t="str">
        <f>IF(fin_table[[#This Row],[Monthly Income]]&lt;3000, "Low Income", IF(fin_table[[#This Row],[Monthly Income]]&lt;=5000, "Middle Income", "High Income"))</f>
        <v>High Income</v>
      </c>
      <c r="AG235" t="s">
        <v>45</v>
      </c>
      <c r="AH235" t="s">
        <v>3635</v>
      </c>
      <c r="AI235" t="str">
        <f t="shared" si="27"/>
        <v>Low-Risk</v>
      </c>
    </row>
    <row r="236" spans="1:35" x14ac:dyDescent="0.35">
      <c r="A236" t="s">
        <v>946</v>
      </c>
      <c r="B236" t="s">
        <v>584</v>
      </c>
      <c r="C236" t="s">
        <v>947</v>
      </c>
      <c r="D236" s="1">
        <v>44983</v>
      </c>
      <c r="E236" s="1" t="str">
        <f t="shared" si="21"/>
        <v>26</v>
      </c>
      <c r="F236" s="1" t="str">
        <f t="shared" si="22"/>
        <v>Feb</v>
      </c>
      <c r="G236" s="6" t="s">
        <v>23</v>
      </c>
      <c r="H236" s="5">
        <v>7523.52</v>
      </c>
      <c r="I236" s="5" t="str">
        <f>IF(fin_table[[#This Row],[Account Balance]]&lt;20000,"Active", "Not Active")</f>
        <v>Active</v>
      </c>
      <c r="J236" s="5">
        <v>16038.32</v>
      </c>
      <c r="K236" s="5" t="str">
        <f t="shared" si="23"/>
        <v>Medium</v>
      </c>
      <c r="L236" s="6" t="s">
        <v>125</v>
      </c>
      <c r="M236">
        <v>39</v>
      </c>
      <c r="N236" s="6" t="str">
        <f t="shared" si="24"/>
        <v>Middle-Aged</v>
      </c>
      <c r="O236" s="6" t="s">
        <v>42</v>
      </c>
      <c r="P236" s="6" t="s">
        <v>36</v>
      </c>
      <c r="Q236" t="s">
        <v>948</v>
      </c>
      <c r="R236" s="6" t="s">
        <v>52</v>
      </c>
      <c r="S236" s="6" t="s">
        <v>44</v>
      </c>
      <c r="T236" s="14">
        <v>2.6700000000000002E-2</v>
      </c>
      <c r="U236">
        <v>2.67</v>
      </c>
      <c r="V236" t="str">
        <f>IF(fin_table[[#This Row],[Interest Rate(%)]]&gt;4,"high","low")</f>
        <v>low</v>
      </c>
      <c r="W236" s="5">
        <v>26681.654999999999</v>
      </c>
      <c r="X236" s="5">
        <f>fin_table[[#This Row],[Interest Rate]]*fin_table[[#This Row],[Loan Amount]]</f>
        <v>712.40018850000001</v>
      </c>
      <c r="Y236">
        <v>13</v>
      </c>
      <c r="Z236" s="3">
        <v>630</v>
      </c>
      <c r="AA236" s="3" t="str">
        <f t="shared" si="25"/>
        <v>Fair</v>
      </c>
      <c r="AB236" s="3" cm="1">
        <f t="array" ref="AB236">_xlfn.IFS(fin_table[[#This Row],[Transaction Status]]="Failed", 1, fin_table[[#This Row],[Transaction Status]]="Completed",0,fin_table[[#This Row],[Transaction Status]]="Pending",2)</f>
        <v>0</v>
      </c>
      <c r="AC236" s="3" t="str">
        <f>IF(fin_table[[#This Row],[Loan Defaulters]]=1,"Default", "Good")</f>
        <v>Good</v>
      </c>
      <c r="AD236" s="3">
        <f t="shared" si="26"/>
        <v>2</v>
      </c>
      <c r="AE236" s="4">
        <v>11670.25</v>
      </c>
      <c r="AF236" s="4" t="str">
        <f>IF(fin_table[[#This Row],[Monthly Income]]&lt;3000, "Low Income", IF(fin_table[[#This Row],[Monthly Income]]&lt;=5000, "Middle Income", "High Income"))</f>
        <v>High Income</v>
      </c>
      <c r="AG236" t="s">
        <v>45</v>
      </c>
      <c r="AH236" t="s">
        <v>3635</v>
      </c>
      <c r="AI236" t="str">
        <f t="shared" si="27"/>
        <v>Low-Risk</v>
      </c>
    </row>
    <row r="237" spans="1:35" x14ac:dyDescent="0.35">
      <c r="A237" t="s">
        <v>949</v>
      </c>
      <c r="B237" t="s">
        <v>950</v>
      </c>
      <c r="C237" t="s">
        <v>951</v>
      </c>
      <c r="D237" s="1">
        <v>45023</v>
      </c>
      <c r="E237" s="1" t="str">
        <f t="shared" si="21"/>
        <v>07</v>
      </c>
      <c r="F237" s="1" t="str">
        <f t="shared" si="22"/>
        <v>Apr</v>
      </c>
      <c r="G237" s="6" t="s">
        <v>56</v>
      </c>
      <c r="H237" s="5">
        <v>4185.49</v>
      </c>
      <c r="I237" s="5" t="str">
        <f>IF(fin_table[[#This Row],[Account Balance]]&lt;20000,"Active", "Not Active")</f>
        <v>Not Active</v>
      </c>
      <c r="J237" s="5">
        <v>21333.59</v>
      </c>
      <c r="K237" s="5" t="str">
        <f t="shared" si="23"/>
        <v>Medium</v>
      </c>
      <c r="L237" s="6" t="s">
        <v>125</v>
      </c>
      <c r="M237">
        <v>61</v>
      </c>
      <c r="N237" s="6" t="str">
        <f t="shared" si="24"/>
        <v>Seniors</v>
      </c>
      <c r="O237" s="6" t="s">
        <v>25</v>
      </c>
      <c r="P237" s="6" t="s">
        <v>36</v>
      </c>
      <c r="Q237" t="s">
        <v>113</v>
      </c>
      <c r="R237" s="6" t="s">
        <v>52</v>
      </c>
      <c r="S237" s="6" t="s">
        <v>62</v>
      </c>
      <c r="T237" s="14">
        <v>2.5399999999999999E-2</v>
      </c>
      <c r="U237">
        <v>2.54</v>
      </c>
      <c r="V237" t="str">
        <f>IF(fin_table[[#This Row],[Interest Rate(%)]]&gt;4,"high","low")</f>
        <v>low</v>
      </c>
      <c r="W237" s="5">
        <v>41560.53</v>
      </c>
      <c r="X237" s="5">
        <f>fin_table[[#This Row],[Interest Rate]]*fin_table[[#This Row],[Loan Amount]]</f>
        <v>1055.6374619999999</v>
      </c>
      <c r="Y237">
        <v>13</v>
      </c>
      <c r="Z237" s="3">
        <v>703</v>
      </c>
      <c r="AA237" s="3" t="str">
        <f t="shared" si="25"/>
        <v>Good</v>
      </c>
      <c r="AB237" s="3" cm="1">
        <f t="array" ref="AB237">_xlfn.IFS(fin_table[[#This Row],[Transaction Status]]="Failed", 1, fin_table[[#This Row],[Transaction Status]]="Completed",0,fin_table[[#This Row],[Transaction Status]]="Pending",2)</f>
        <v>2</v>
      </c>
      <c r="AC237" s="3" t="str">
        <f>IF(fin_table[[#This Row],[Loan Defaulters]]=1,"Default", "Good")</f>
        <v>Good</v>
      </c>
      <c r="AD237" s="3">
        <f t="shared" si="26"/>
        <v>3</v>
      </c>
      <c r="AE237" s="4">
        <v>13132.86</v>
      </c>
      <c r="AF237" s="4" t="str">
        <f>IF(fin_table[[#This Row],[Monthly Income]]&lt;3000, "Low Income", IF(fin_table[[#This Row],[Monthly Income]]&lt;=5000, "Middle Income", "High Income"))</f>
        <v>High Income</v>
      </c>
      <c r="AG237" t="s">
        <v>30</v>
      </c>
      <c r="AH237" t="s">
        <v>3636</v>
      </c>
      <c r="AI237" t="str">
        <f t="shared" si="27"/>
        <v>Low-Risk</v>
      </c>
    </row>
    <row r="238" spans="1:35" x14ac:dyDescent="0.35">
      <c r="A238" t="s">
        <v>952</v>
      </c>
      <c r="B238" t="s">
        <v>953</v>
      </c>
      <c r="C238" t="s">
        <v>954</v>
      </c>
      <c r="D238" s="1">
        <v>44852</v>
      </c>
      <c r="E238" s="1" t="str">
        <f t="shared" si="21"/>
        <v>18</v>
      </c>
      <c r="F238" s="1" t="str">
        <f t="shared" si="22"/>
        <v>Oct</v>
      </c>
      <c r="G238" s="6" t="s">
        <v>23</v>
      </c>
      <c r="H238" s="5">
        <v>6496.35</v>
      </c>
      <c r="I238" s="5" t="str">
        <f>IF(fin_table[[#This Row],[Account Balance]]&lt;20000,"Active", "Not Active")</f>
        <v>Not Active</v>
      </c>
      <c r="J238" s="5">
        <v>35926.11</v>
      </c>
      <c r="K238" s="5" t="str">
        <f t="shared" si="23"/>
        <v>Medium</v>
      </c>
      <c r="L238" s="6" t="s">
        <v>24</v>
      </c>
      <c r="M238">
        <v>27</v>
      </c>
      <c r="N238" s="6" t="str">
        <f t="shared" si="24"/>
        <v>Adults</v>
      </c>
      <c r="O238" s="6" t="s">
        <v>25</v>
      </c>
      <c r="P238" s="6" t="s">
        <v>36</v>
      </c>
      <c r="Q238" t="s">
        <v>955</v>
      </c>
      <c r="R238" s="6" t="s">
        <v>28</v>
      </c>
      <c r="S238" s="6" t="s">
        <v>62</v>
      </c>
      <c r="T238" s="14">
        <v>3.1399999999999997E-2</v>
      </c>
      <c r="U238">
        <v>3.14</v>
      </c>
      <c r="V238" t="str">
        <f>IF(fin_table[[#This Row],[Interest Rate(%)]]&gt;4,"high","low")</f>
        <v>low</v>
      </c>
      <c r="W238" s="5">
        <v>26681.654999999999</v>
      </c>
      <c r="X238" s="5">
        <f>fin_table[[#This Row],[Interest Rate]]*fin_table[[#This Row],[Loan Amount]]</f>
        <v>837.80396699999994</v>
      </c>
      <c r="Y238">
        <v>13</v>
      </c>
      <c r="Z238" s="3">
        <v>807</v>
      </c>
      <c r="AA238" s="3" t="str">
        <f t="shared" si="25"/>
        <v>Excellent</v>
      </c>
      <c r="AB238" s="3" cm="1">
        <f t="array" ref="AB238">_xlfn.IFS(fin_table[[#This Row],[Transaction Status]]="Failed", 1, fin_table[[#This Row],[Transaction Status]]="Completed",0,fin_table[[#This Row],[Transaction Status]]="Pending",2)</f>
        <v>2</v>
      </c>
      <c r="AC238" s="3" t="str">
        <f>IF(fin_table[[#This Row],[Loan Defaulters]]=1,"Default", "Good")</f>
        <v>Good</v>
      </c>
      <c r="AD238" s="3">
        <f t="shared" si="26"/>
        <v>5</v>
      </c>
      <c r="AE238" s="4">
        <v>6030.21</v>
      </c>
      <c r="AF238" s="4" t="str">
        <f>IF(fin_table[[#This Row],[Monthly Income]]&lt;3000, "Low Income", IF(fin_table[[#This Row],[Monthly Income]]&lt;=5000, "Middle Income", "High Income"))</f>
        <v>High Income</v>
      </c>
      <c r="AG238" t="s">
        <v>63</v>
      </c>
      <c r="AH238" t="s">
        <v>3635</v>
      </c>
      <c r="AI238" t="str">
        <f t="shared" si="27"/>
        <v>Low-Risk</v>
      </c>
    </row>
    <row r="239" spans="1:35" x14ac:dyDescent="0.35">
      <c r="A239" t="s">
        <v>956</v>
      </c>
      <c r="B239" t="s">
        <v>957</v>
      </c>
      <c r="C239" t="s">
        <v>958</v>
      </c>
      <c r="D239" s="1">
        <v>44727</v>
      </c>
      <c r="E239" s="1" t="str">
        <f t="shared" si="21"/>
        <v>15</v>
      </c>
      <c r="F239" s="1" t="str">
        <f t="shared" si="22"/>
        <v>Jun</v>
      </c>
      <c r="G239" s="6" t="s">
        <v>71</v>
      </c>
      <c r="H239" s="5">
        <v>6499.86</v>
      </c>
      <c r="I239" s="5" t="str">
        <f>IF(fin_table[[#This Row],[Account Balance]]&lt;20000,"Active", "Not Active")</f>
        <v>Active</v>
      </c>
      <c r="J239" s="5">
        <v>19924.39</v>
      </c>
      <c r="K239" s="5" t="str">
        <f t="shared" si="23"/>
        <v>Medium</v>
      </c>
      <c r="L239" s="6" t="s">
        <v>35</v>
      </c>
      <c r="M239">
        <v>23</v>
      </c>
      <c r="N239" s="6" t="str">
        <f t="shared" si="24"/>
        <v>Young Adults</v>
      </c>
      <c r="O239" s="6" t="s">
        <v>25</v>
      </c>
      <c r="P239" s="6" t="s">
        <v>26</v>
      </c>
      <c r="Q239" t="s">
        <v>959</v>
      </c>
      <c r="R239" s="6" t="s">
        <v>38</v>
      </c>
      <c r="S239" s="6" t="s">
        <v>62</v>
      </c>
      <c r="T239" s="14">
        <v>4.3700000000000003E-2</v>
      </c>
      <c r="U239">
        <v>4.37</v>
      </c>
      <c r="V239" t="str">
        <f>IF(fin_table[[#This Row],[Interest Rate(%)]]&gt;4,"high","low")</f>
        <v>high</v>
      </c>
      <c r="W239" s="5">
        <v>26681.654999999999</v>
      </c>
      <c r="X239" s="5">
        <f>fin_table[[#This Row],[Interest Rate]]*fin_table[[#This Row],[Loan Amount]]</f>
        <v>1165.9883235</v>
      </c>
      <c r="Y239">
        <v>20</v>
      </c>
      <c r="Z239" s="3">
        <v>426</v>
      </c>
      <c r="AA239" s="3" t="str">
        <f t="shared" si="25"/>
        <v>Poor</v>
      </c>
      <c r="AB239" s="3" cm="1">
        <f t="array" ref="AB239">_xlfn.IFS(fin_table[[#This Row],[Transaction Status]]="Failed", 1, fin_table[[#This Row],[Transaction Status]]="Completed",0,fin_table[[#This Row],[Transaction Status]]="Pending",2)</f>
        <v>2</v>
      </c>
      <c r="AC239" s="3" t="str">
        <f>IF(fin_table[[#This Row],[Loan Defaulters]]=1,"Default", "Good")</f>
        <v>Good</v>
      </c>
      <c r="AD239" s="3">
        <f t="shared" si="26"/>
        <v>1</v>
      </c>
      <c r="AE239" s="4">
        <v>7105.75</v>
      </c>
      <c r="AF239" s="4" t="str">
        <f>IF(fin_table[[#This Row],[Monthly Income]]&lt;3000, "Low Income", IF(fin_table[[#This Row],[Monthly Income]]&lt;=5000, "Middle Income", "High Income"))</f>
        <v>High Income</v>
      </c>
      <c r="AG239" t="s">
        <v>63</v>
      </c>
      <c r="AH239" t="s">
        <v>3635</v>
      </c>
      <c r="AI239" t="str">
        <f t="shared" si="27"/>
        <v>Low-Risk</v>
      </c>
    </row>
    <row r="240" spans="1:35" x14ac:dyDescent="0.35">
      <c r="A240" t="s">
        <v>960</v>
      </c>
      <c r="B240" t="s">
        <v>961</v>
      </c>
      <c r="C240" t="s">
        <v>962</v>
      </c>
      <c r="D240" s="1">
        <v>44583</v>
      </c>
      <c r="E240" s="1" t="str">
        <f t="shared" si="21"/>
        <v>22</v>
      </c>
      <c r="F240" s="1" t="str">
        <f t="shared" si="22"/>
        <v>Jan</v>
      </c>
      <c r="G240" s="6" t="s">
        <v>71</v>
      </c>
      <c r="H240" s="5">
        <v>8891.59</v>
      </c>
      <c r="I240" s="5" t="str">
        <f>IF(fin_table[[#This Row],[Account Balance]]&lt;20000,"Active", "Not Active")</f>
        <v>Not Active</v>
      </c>
      <c r="J240" s="5">
        <v>29836.74</v>
      </c>
      <c r="K240" s="5" t="str">
        <f t="shared" si="23"/>
        <v>Medium</v>
      </c>
      <c r="L240" s="6" t="s">
        <v>100</v>
      </c>
      <c r="M240">
        <v>34</v>
      </c>
      <c r="N240" s="6" t="str">
        <f t="shared" si="24"/>
        <v>Adults</v>
      </c>
      <c r="O240" s="6" t="s">
        <v>25</v>
      </c>
      <c r="P240" s="6" t="s">
        <v>26</v>
      </c>
      <c r="Q240" t="s">
        <v>562</v>
      </c>
      <c r="R240" s="6" t="s">
        <v>52</v>
      </c>
      <c r="S240" s="6" t="s">
        <v>29</v>
      </c>
      <c r="T240" s="14">
        <v>3.3300000000000003E-2</v>
      </c>
      <c r="U240">
        <v>3.33</v>
      </c>
      <c r="V240" t="str">
        <f>IF(fin_table[[#This Row],[Interest Rate(%)]]&gt;4,"high","low")</f>
        <v>low</v>
      </c>
      <c r="W240" s="5">
        <v>26681.654999999999</v>
      </c>
      <c r="X240" s="5">
        <f>fin_table[[#This Row],[Interest Rate]]*fin_table[[#This Row],[Loan Amount]]</f>
        <v>888.49911150000003</v>
      </c>
      <c r="Y240">
        <v>13</v>
      </c>
      <c r="Z240" s="3">
        <v>564</v>
      </c>
      <c r="AA240" s="3" t="str">
        <f t="shared" si="25"/>
        <v>Poor</v>
      </c>
      <c r="AB240" s="3" cm="1">
        <f t="array" ref="AB240">_xlfn.IFS(fin_table[[#This Row],[Transaction Status]]="Failed", 1, fin_table[[#This Row],[Transaction Status]]="Completed",0,fin_table[[#This Row],[Transaction Status]]="Pending",2)</f>
        <v>1</v>
      </c>
      <c r="AC240" s="3" t="str">
        <f>IF(fin_table[[#This Row],[Loan Defaulters]]=1,"Default", "Good")</f>
        <v>Default</v>
      </c>
      <c r="AD240" s="3">
        <f t="shared" si="26"/>
        <v>1</v>
      </c>
      <c r="AE240" s="4">
        <v>6635.23</v>
      </c>
      <c r="AF240" s="4" t="str">
        <f>IF(fin_table[[#This Row],[Monthly Income]]&lt;3000, "Low Income", IF(fin_table[[#This Row],[Monthly Income]]&lt;=5000, "Middle Income", "High Income"))</f>
        <v>High Income</v>
      </c>
      <c r="AG240" t="s">
        <v>45</v>
      </c>
      <c r="AH240" t="s">
        <v>3635</v>
      </c>
      <c r="AI240" t="str">
        <f t="shared" si="27"/>
        <v>Low-Risk</v>
      </c>
    </row>
    <row r="241" spans="1:35" x14ac:dyDescent="0.35">
      <c r="A241" t="s">
        <v>963</v>
      </c>
      <c r="B241" t="s">
        <v>964</v>
      </c>
      <c r="C241" t="s">
        <v>965</v>
      </c>
      <c r="D241" s="1">
        <v>44641</v>
      </c>
      <c r="E241" s="1" t="str">
        <f t="shared" si="21"/>
        <v>21</v>
      </c>
      <c r="F241" s="1" t="str">
        <f t="shared" si="22"/>
        <v>Mar</v>
      </c>
      <c r="G241" s="6" t="s">
        <v>56</v>
      </c>
      <c r="H241" s="5">
        <v>6027.05</v>
      </c>
      <c r="I241" s="5" t="str">
        <f>IF(fin_table[[#This Row],[Account Balance]]&lt;20000,"Active", "Not Active")</f>
        <v>Active</v>
      </c>
      <c r="J241" s="5">
        <v>10083.27</v>
      </c>
      <c r="K241" s="5" t="str">
        <f t="shared" si="23"/>
        <v>Medium</v>
      </c>
      <c r="L241" s="6" t="s">
        <v>49</v>
      </c>
      <c r="M241">
        <v>68</v>
      </c>
      <c r="N241" s="6" t="str">
        <f t="shared" si="24"/>
        <v>Seniors</v>
      </c>
      <c r="O241" s="6" t="s">
        <v>25</v>
      </c>
      <c r="P241" s="6" t="s">
        <v>50</v>
      </c>
      <c r="Q241" t="s">
        <v>966</v>
      </c>
      <c r="R241" s="6" t="s">
        <v>28</v>
      </c>
      <c r="S241" s="6" t="s">
        <v>62</v>
      </c>
      <c r="T241" s="14">
        <v>1.2500000000000001E-2</v>
      </c>
      <c r="U241">
        <v>1.25</v>
      </c>
      <c r="V241" t="str">
        <f>IF(fin_table[[#This Row],[Interest Rate(%)]]&gt;4,"high","low")</f>
        <v>low</v>
      </c>
      <c r="W241" s="5">
        <v>32605.05</v>
      </c>
      <c r="X241" s="5">
        <f>fin_table[[#This Row],[Interest Rate]]*fin_table[[#This Row],[Loan Amount]]</f>
        <v>407.56312500000001</v>
      </c>
      <c r="Y241">
        <v>13</v>
      </c>
      <c r="Z241" s="3">
        <v>314</v>
      </c>
      <c r="AA241" s="3" t="str">
        <f t="shared" si="25"/>
        <v>Poor</v>
      </c>
      <c r="AB241" s="3" cm="1">
        <f t="array" ref="AB241">_xlfn.IFS(fin_table[[#This Row],[Transaction Status]]="Failed", 1, fin_table[[#This Row],[Transaction Status]]="Completed",0,fin_table[[#This Row],[Transaction Status]]="Pending",2)</f>
        <v>2</v>
      </c>
      <c r="AC241" s="3" t="str">
        <f>IF(fin_table[[#This Row],[Loan Defaulters]]=1,"Default", "Good")</f>
        <v>Good</v>
      </c>
      <c r="AD241" s="3">
        <f t="shared" si="26"/>
        <v>1</v>
      </c>
      <c r="AE241" s="4">
        <v>12827.13</v>
      </c>
      <c r="AF241" s="4" t="str">
        <f>IF(fin_table[[#This Row],[Monthly Income]]&lt;3000, "Low Income", IF(fin_table[[#This Row],[Monthly Income]]&lt;=5000, "Middle Income", "High Income"))</f>
        <v>High Income</v>
      </c>
      <c r="AG241" t="s">
        <v>45</v>
      </c>
      <c r="AH241" t="s">
        <v>3636</v>
      </c>
      <c r="AI241" t="str">
        <f t="shared" si="27"/>
        <v>Low-Risk</v>
      </c>
    </row>
    <row r="242" spans="1:35" x14ac:dyDescent="0.35">
      <c r="A242" t="s">
        <v>967</v>
      </c>
      <c r="B242" t="s">
        <v>968</v>
      </c>
      <c r="C242" t="s">
        <v>969</v>
      </c>
      <c r="D242" s="1">
        <v>44605</v>
      </c>
      <c r="E242" s="1" t="str">
        <f t="shared" si="21"/>
        <v>13</v>
      </c>
      <c r="F242" s="1" t="str">
        <f t="shared" si="22"/>
        <v>Feb</v>
      </c>
      <c r="G242" s="6" t="s">
        <v>23</v>
      </c>
      <c r="H242" s="5">
        <v>5071.32</v>
      </c>
      <c r="I242" s="5" t="str">
        <f>IF(fin_table[[#This Row],[Account Balance]]&lt;20000,"Active", "Not Active")</f>
        <v>Not Active</v>
      </c>
      <c r="J242" s="5">
        <v>30388.79</v>
      </c>
      <c r="K242" s="5" t="str">
        <f t="shared" si="23"/>
        <v>Medium</v>
      </c>
      <c r="L242" s="6" t="s">
        <v>100</v>
      </c>
      <c r="M242">
        <v>67</v>
      </c>
      <c r="N242" s="6" t="str">
        <f t="shared" si="24"/>
        <v>Seniors</v>
      </c>
      <c r="O242" s="6" t="s">
        <v>25</v>
      </c>
      <c r="P242" s="6" t="s">
        <v>26</v>
      </c>
      <c r="Q242" t="s">
        <v>970</v>
      </c>
      <c r="R242" s="6" t="s">
        <v>52</v>
      </c>
      <c r="S242" s="6" t="s">
        <v>29</v>
      </c>
      <c r="T242" s="14">
        <v>3.6200000000000003E-2</v>
      </c>
      <c r="U242">
        <v>3.62</v>
      </c>
      <c r="V242" t="str">
        <f>IF(fin_table[[#This Row],[Interest Rate(%)]]&gt;4,"high","low")</f>
        <v>low</v>
      </c>
      <c r="W242" s="5">
        <v>20921.13</v>
      </c>
      <c r="X242" s="5">
        <f>fin_table[[#This Row],[Interest Rate]]*fin_table[[#This Row],[Loan Amount]]</f>
        <v>757.34490600000015</v>
      </c>
      <c r="Y242">
        <v>13</v>
      </c>
      <c r="Z242" s="3">
        <v>525</v>
      </c>
      <c r="AA242" s="3" t="str">
        <f t="shared" si="25"/>
        <v>Poor</v>
      </c>
      <c r="AB242" s="3" cm="1">
        <f t="array" ref="AB242">_xlfn.IFS(fin_table[[#This Row],[Transaction Status]]="Failed", 1, fin_table[[#This Row],[Transaction Status]]="Completed",0,fin_table[[#This Row],[Transaction Status]]="Pending",2)</f>
        <v>1</v>
      </c>
      <c r="AC242" s="3" t="str">
        <f>IF(fin_table[[#This Row],[Loan Defaulters]]=1,"Default", "Good")</f>
        <v>Default</v>
      </c>
      <c r="AD242" s="3">
        <f t="shared" si="26"/>
        <v>1</v>
      </c>
      <c r="AE242" s="4">
        <v>2576.5100000000002</v>
      </c>
      <c r="AF242" s="4" t="str">
        <f>IF(fin_table[[#This Row],[Monthly Income]]&lt;3000, "Low Income", IF(fin_table[[#This Row],[Monthly Income]]&lt;=5000, "Middle Income", "High Income"))</f>
        <v>Low Income</v>
      </c>
      <c r="AG242" t="s">
        <v>30</v>
      </c>
      <c r="AH242" t="s">
        <v>3636</v>
      </c>
      <c r="AI242" t="str">
        <f t="shared" si="27"/>
        <v>Low-Risk</v>
      </c>
    </row>
    <row r="243" spans="1:35" x14ac:dyDescent="0.35">
      <c r="A243" t="s">
        <v>971</v>
      </c>
      <c r="B243" t="s">
        <v>972</v>
      </c>
      <c r="C243" t="s">
        <v>973</v>
      </c>
      <c r="D243" s="1">
        <v>44899</v>
      </c>
      <c r="E243" s="1" t="str">
        <f t="shared" si="21"/>
        <v>04</v>
      </c>
      <c r="F243" s="1" t="str">
        <f t="shared" si="22"/>
        <v>Dec</v>
      </c>
      <c r="G243" s="6" t="s">
        <v>23</v>
      </c>
      <c r="H243" s="5">
        <v>1474.83</v>
      </c>
      <c r="I243" s="5" t="str">
        <f>IF(fin_table[[#This Row],[Account Balance]]&lt;20000,"Active", "Not Active")</f>
        <v>Not Active</v>
      </c>
      <c r="J243" s="5">
        <v>43214.17</v>
      </c>
      <c r="K243" s="5" t="str">
        <f t="shared" si="23"/>
        <v>Medium</v>
      </c>
      <c r="L243" s="6" t="s">
        <v>24</v>
      </c>
      <c r="M243">
        <v>55</v>
      </c>
      <c r="N243" s="6" t="str">
        <f t="shared" si="24"/>
        <v>Older Adults</v>
      </c>
      <c r="O243" s="6" t="s">
        <v>42</v>
      </c>
      <c r="P243" s="6" t="s">
        <v>50</v>
      </c>
      <c r="Q243" t="s">
        <v>974</v>
      </c>
      <c r="R243" s="6" t="s">
        <v>38</v>
      </c>
      <c r="S243" s="6" t="s">
        <v>62</v>
      </c>
      <c r="T243" s="14">
        <v>1.03E-2</v>
      </c>
      <c r="U243">
        <v>1.03</v>
      </c>
      <c r="V243" t="str">
        <f>IF(fin_table[[#This Row],[Interest Rate(%)]]&gt;4,"high","low")</f>
        <v>low</v>
      </c>
      <c r="W243" s="5">
        <v>26681.654999999999</v>
      </c>
      <c r="X243" s="5">
        <f>fin_table[[#This Row],[Interest Rate]]*fin_table[[#This Row],[Loan Amount]]</f>
        <v>274.82104649999997</v>
      </c>
      <c r="Y243">
        <v>13</v>
      </c>
      <c r="Z243" s="3">
        <v>404</v>
      </c>
      <c r="AA243" s="3" t="str">
        <f t="shared" si="25"/>
        <v>Poor</v>
      </c>
      <c r="AB243" s="3" cm="1">
        <f t="array" ref="AB243">_xlfn.IFS(fin_table[[#This Row],[Transaction Status]]="Failed", 1, fin_table[[#This Row],[Transaction Status]]="Completed",0,fin_table[[#This Row],[Transaction Status]]="Pending",2)</f>
        <v>2</v>
      </c>
      <c r="AC243" s="3" t="str">
        <f>IF(fin_table[[#This Row],[Loan Defaulters]]=1,"Default", "Good")</f>
        <v>Good</v>
      </c>
      <c r="AD243" s="3">
        <f t="shared" si="26"/>
        <v>1</v>
      </c>
      <c r="AE243" s="4">
        <v>6009.47</v>
      </c>
      <c r="AF243" s="4" t="str">
        <f>IF(fin_table[[#This Row],[Monthly Income]]&lt;3000, "Low Income", IF(fin_table[[#This Row],[Monthly Income]]&lt;=5000, "Middle Income", "High Income"))</f>
        <v>High Income</v>
      </c>
      <c r="AG243" t="s">
        <v>30</v>
      </c>
      <c r="AH243" t="s">
        <v>3635</v>
      </c>
      <c r="AI243" t="str">
        <f t="shared" si="27"/>
        <v>Low-Risk</v>
      </c>
    </row>
    <row r="244" spans="1:35" x14ac:dyDescent="0.35">
      <c r="A244" t="s">
        <v>975</v>
      </c>
      <c r="B244" t="s">
        <v>976</v>
      </c>
      <c r="C244" t="s">
        <v>977</v>
      </c>
      <c r="D244" s="1">
        <v>44729</v>
      </c>
      <c r="E244" s="1" t="str">
        <f t="shared" si="21"/>
        <v>17</v>
      </c>
      <c r="F244" s="1" t="str">
        <f t="shared" si="22"/>
        <v>Jun</v>
      </c>
      <c r="G244" s="6" t="s">
        <v>71</v>
      </c>
      <c r="H244" s="5">
        <v>1245.8</v>
      </c>
      <c r="I244" s="5" t="str">
        <f>IF(fin_table[[#This Row],[Account Balance]]&lt;20000,"Active", "Not Active")</f>
        <v>Not Active</v>
      </c>
      <c r="J244" s="5">
        <v>43563.34</v>
      </c>
      <c r="K244" s="5" t="str">
        <f t="shared" si="23"/>
        <v>Medium</v>
      </c>
      <c r="L244" s="6" t="s">
        <v>125</v>
      </c>
      <c r="M244">
        <v>41</v>
      </c>
      <c r="N244" s="6" t="str">
        <f t="shared" si="24"/>
        <v>Middle-Aged</v>
      </c>
      <c r="O244" s="6" t="s">
        <v>42</v>
      </c>
      <c r="P244" s="6" t="s">
        <v>36</v>
      </c>
      <c r="Q244" t="s">
        <v>630</v>
      </c>
      <c r="R244" s="6" t="s">
        <v>52</v>
      </c>
      <c r="S244" s="6" t="s">
        <v>44</v>
      </c>
      <c r="T244" s="14">
        <v>4.1200000000000001E-2</v>
      </c>
      <c r="U244">
        <v>4.12</v>
      </c>
      <c r="V244" t="str">
        <f>IF(fin_table[[#This Row],[Interest Rate(%)]]&gt;4,"high","low")</f>
        <v>high</v>
      </c>
      <c r="W244" s="5">
        <v>26681.654999999999</v>
      </c>
      <c r="X244" s="5">
        <f>fin_table[[#This Row],[Interest Rate]]*fin_table[[#This Row],[Loan Amount]]</f>
        <v>1099.2841859999999</v>
      </c>
      <c r="Y244">
        <v>27</v>
      </c>
      <c r="Z244" s="3">
        <v>792</v>
      </c>
      <c r="AA244" s="3" t="str">
        <f t="shared" si="25"/>
        <v>Very Good</v>
      </c>
      <c r="AB244" s="3" cm="1">
        <f t="array" ref="AB244">_xlfn.IFS(fin_table[[#This Row],[Transaction Status]]="Failed", 1, fin_table[[#This Row],[Transaction Status]]="Completed",0,fin_table[[#This Row],[Transaction Status]]="Pending",2)</f>
        <v>0</v>
      </c>
      <c r="AC244" s="3" t="str">
        <f>IF(fin_table[[#This Row],[Loan Defaulters]]=1,"Default", "Good")</f>
        <v>Good</v>
      </c>
      <c r="AD244" s="3">
        <f t="shared" si="26"/>
        <v>4</v>
      </c>
      <c r="AE244" s="4">
        <v>10832.31</v>
      </c>
      <c r="AF244" s="4" t="str">
        <f>IF(fin_table[[#This Row],[Monthly Income]]&lt;3000, "Low Income", IF(fin_table[[#This Row],[Monthly Income]]&lt;=5000, "Middle Income", "High Income"))</f>
        <v>High Income</v>
      </c>
      <c r="AG244" t="s">
        <v>30</v>
      </c>
      <c r="AH244" t="s">
        <v>3635</v>
      </c>
      <c r="AI244" t="str">
        <f t="shared" si="27"/>
        <v>Low-Risk</v>
      </c>
    </row>
    <row r="245" spans="1:35" x14ac:dyDescent="0.35">
      <c r="A245" t="s">
        <v>978</v>
      </c>
      <c r="B245" t="s">
        <v>979</v>
      </c>
      <c r="C245" t="s">
        <v>980</v>
      </c>
      <c r="D245" s="1">
        <v>45052</v>
      </c>
      <c r="E245" s="1" t="str">
        <f t="shared" si="21"/>
        <v>06</v>
      </c>
      <c r="F245" s="1" t="str">
        <f t="shared" si="22"/>
        <v>May</v>
      </c>
      <c r="G245" s="6" t="s">
        <v>23</v>
      </c>
      <c r="H245" s="5">
        <v>1627.78</v>
      </c>
      <c r="I245" s="5" t="str">
        <f>IF(fin_table[[#This Row],[Account Balance]]&lt;20000,"Active", "Not Active")</f>
        <v>Not Active</v>
      </c>
      <c r="J245" s="5">
        <v>36492.879999999997</v>
      </c>
      <c r="K245" s="5" t="str">
        <f t="shared" si="23"/>
        <v>Medium</v>
      </c>
      <c r="L245" s="6" t="s">
        <v>49</v>
      </c>
      <c r="M245">
        <v>68</v>
      </c>
      <c r="N245" s="6" t="str">
        <f t="shared" si="24"/>
        <v>Seniors</v>
      </c>
      <c r="O245" s="6" t="s">
        <v>42</v>
      </c>
      <c r="P245" s="6" t="s">
        <v>36</v>
      </c>
      <c r="Q245" t="s">
        <v>981</v>
      </c>
      <c r="R245" s="6" t="s">
        <v>38</v>
      </c>
      <c r="S245" s="6" t="s">
        <v>44</v>
      </c>
      <c r="T245" s="14">
        <v>3.6700000000000003E-2</v>
      </c>
      <c r="U245">
        <v>3.67</v>
      </c>
      <c r="V245" t="str">
        <f>IF(fin_table[[#This Row],[Interest Rate(%)]]&gt;4,"high","low")</f>
        <v>low</v>
      </c>
      <c r="W245" s="5">
        <v>26681.654999999999</v>
      </c>
      <c r="X245" s="5">
        <f>fin_table[[#This Row],[Interest Rate]]*fin_table[[#This Row],[Loan Amount]]</f>
        <v>979.21673850000002</v>
      </c>
      <c r="Y245">
        <v>27</v>
      </c>
      <c r="Z245" s="3">
        <v>618</v>
      </c>
      <c r="AA245" s="3" t="str">
        <f t="shared" si="25"/>
        <v>Fair</v>
      </c>
      <c r="AB245" s="3" cm="1">
        <f t="array" ref="AB245">_xlfn.IFS(fin_table[[#This Row],[Transaction Status]]="Failed", 1, fin_table[[#This Row],[Transaction Status]]="Completed",0,fin_table[[#This Row],[Transaction Status]]="Pending",2)</f>
        <v>0</v>
      </c>
      <c r="AC245" s="3" t="str">
        <f>IF(fin_table[[#This Row],[Loan Defaulters]]=1,"Default", "Good")</f>
        <v>Good</v>
      </c>
      <c r="AD245" s="3">
        <f t="shared" si="26"/>
        <v>2</v>
      </c>
      <c r="AE245" s="4">
        <v>9350.77</v>
      </c>
      <c r="AF245" s="4" t="str">
        <f>IF(fin_table[[#This Row],[Monthly Income]]&lt;3000, "Low Income", IF(fin_table[[#This Row],[Monthly Income]]&lt;=5000, "Middle Income", "High Income"))</f>
        <v>High Income</v>
      </c>
      <c r="AG245" t="s">
        <v>63</v>
      </c>
      <c r="AH245" t="s">
        <v>3635</v>
      </c>
      <c r="AI245" t="str">
        <f t="shared" si="27"/>
        <v>Low-Risk</v>
      </c>
    </row>
    <row r="246" spans="1:35" x14ac:dyDescent="0.35">
      <c r="A246" t="s">
        <v>982</v>
      </c>
      <c r="B246" t="s">
        <v>983</v>
      </c>
      <c r="C246" t="s">
        <v>984</v>
      </c>
      <c r="D246" s="1">
        <v>44593</v>
      </c>
      <c r="E246" s="1" t="str">
        <f t="shared" si="21"/>
        <v>01</v>
      </c>
      <c r="F246" s="1" t="str">
        <f t="shared" si="22"/>
        <v>Feb</v>
      </c>
      <c r="G246" s="6" t="s">
        <v>23</v>
      </c>
      <c r="H246" s="5">
        <v>1801.3</v>
      </c>
      <c r="I246" s="5" t="str">
        <f>IF(fin_table[[#This Row],[Account Balance]]&lt;20000,"Active", "Not Active")</f>
        <v>Not Active</v>
      </c>
      <c r="J246" s="5">
        <v>37541.919999999998</v>
      </c>
      <c r="K246" s="5" t="str">
        <f t="shared" si="23"/>
        <v>Medium</v>
      </c>
      <c r="L246" s="6" t="s">
        <v>24</v>
      </c>
      <c r="M246">
        <v>27</v>
      </c>
      <c r="N246" s="6" t="str">
        <f t="shared" si="24"/>
        <v>Adults</v>
      </c>
      <c r="O246" s="6" t="s">
        <v>25</v>
      </c>
      <c r="P246" s="6" t="s">
        <v>36</v>
      </c>
      <c r="Q246" t="s">
        <v>312</v>
      </c>
      <c r="R246" s="6" t="s">
        <v>52</v>
      </c>
      <c r="S246" s="6" t="s">
        <v>29</v>
      </c>
      <c r="T246" s="14">
        <v>2.24E-2</v>
      </c>
      <c r="U246">
        <v>2.2400000000000002</v>
      </c>
      <c r="V246" t="str">
        <f>IF(fin_table[[#This Row],[Interest Rate(%)]]&gt;4,"high","low")</f>
        <v>low</v>
      </c>
      <c r="W246" s="5">
        <v>26681.654999999999</v>
      </c>
      <c r="X246" s="5">
        <f>fin_table[[#This Row],[Interest Rate]]*fin_table[[#This Row],[Loan Amount]]</f>
        <v>597.66907199999991</v>
      </c>
      <c r="Y246">
        <v>13</v>
      </c>
      <c r="Z246" s="3">
        <v>518</v>
      </c>
      <c r="AA246" s="3" t="str">
        <f t="shared" si="25"/>
        <v>Poor</v>
      </c>
      <c r="AB246" s="3" cm="1">
        <f t="array" ref="AB246">_xlfn.IFS(fin_table[[#This Row],[Transaction Status]]="Failed", 1, fin_table[[#This Row],[Transaction Status]]="Completed",0,fin_table[[#This Row],[Transaction Status]]="Pending",2)</f>
        <v>1</v>
      </c>
      <c r="AC246" s="3" t="str">
        <f>IF(fin_table[[#This Row],[Loan Defaulters]]=1,"Default", "Good")</f>
        <v>Default</v>
      </c>
      <c r="AD246" s="3">
        <f t="shared" si="26"/>
        <v>1</v>
      </c>
      <c r="AE246" s="4">
        <v>7671.76</v>
      </c>
      <c r="AF246" s="4" t="str">
        <f>IF(fin_table[[#This Row],[Monthly Income]]&lt;3000, "Low Income", IF(fin_table[[#This Row],[Monthly Income]]&lt;=5000, "Middle Income", "High Income"))</f>
        <v>High Income</v>
      </c>
      <c r="AG246" t="s">
        <v>63</v>
      </c>
      <c r="AH246" t="s">
        <v>3635</v>
      </c>
      <c r="AI246" t="str">
        <f t="shared" si="27"/>
        <v>Low-Risk</v>
      </c>
    </row>
    <row r="247" spans="1:35" x14ac:dyDescent="0.35">
      <c r="A247" t="s">
        <v>985</v>
      </c>
      <c r="B247" t="s">
        <v>986</v>
      </c>
      <c r="C247" t="s">
        <v>987</v>
      </c>
      <c r="D247" s="1">
        <v>44730</v>
      </c>
      <c r="E247" s="1" t="str">
        <f t="shared" si="21"/>
        <v>18</v>
      </c>
      <c r="F247" s="1" t="str">
        <f t="shared" si="22"/>
        <v>Jun</v>
      </c>
      <c r="G247" s="6" t="s">
        <v>23</v>
      </c>
      <c r="H247" s="5">
        <v>6414.98</v>
      </c>
      <c r="I247" s="5" t="str">
        <f>IF(fin_table[[#This Row],[Account Balance]]&lt;20000,"Active", "Not Active")</f>
        <v>Not Active</v>
      </c>
      <c r="J247" s="5">
        <v>28338.44</v>
      </c>
      <c r="K247" s="5" t="str">
        <f t="shared" si="23"/>
        <v>Medium</v>
      </c>
      <c r="L247" s="6" t="s">
        <v>24</v>
      </c>
      <c r="M247">
        <v>25</v>
      </c>
      <c r="N247" s="6" t="str">
        <f t="shared" si="24"/>
        <v>Young Adults</v>
      </c>
      <c r="O247" s="6" t="s">
        <v>42</v>
      </c>
      <c r="P247" s="6" t="s">
        <v>50</v>
      </c>
      <c r="Q247" t="s">
        <v>988</v>
      </c>
      <c r="R247" s="6" t="s">
        <v>38</v>
      </c>
      <c r="S247" s="6" t="s">
        <v>29</v>
      </c>
      <c r="T247" s="14">
        <v>2.1700000000000001E-2</v>
      </c>
      <c r="U247">
        <v>2.17</v>
      </c>
      <c r="V247" t="str">
        <f>IF(fin_table[[#This Row],[Interest Rate(%)]]&gt;4,"high","low")</f>
        <v>low</v>
      </c>
      <c r="W247" s="5">
        <v>49922.48</v>
      </c>
      <c r="X247" s="5">
        <f>fin_table[[#This Row],[Interest Rate]]*fin_table[[#This Row],[Loan Amount]]</f>
        <v>1083.317816</v>
      </c>
      <c r="Y247">
        <v>1</v>
      </c>
      <c r="Z247" s="3">
        <v>576</v>
      </c>
      <c r="AA247" s="3" t="str">
        <f t="shared" si="25"/>
        <v>Poor</v>
      </c>
      <c r="AB247" s="3" cm="1">
        <f t="array" ref="AB247">_xlfn.IFS(fin_table[[#This Row],[Transaction Status]]="Failed", 1, fin_table[[#This Row],[Transaction Status]]="Completed",0,fin_table[[#This Row],[Transaction Status]]="Pending",2)</f>
        <v>1</v>
      </c>
      <c r="AC247" s="3" t="str">
        <f>IF(fin_table[[#This Row],[Loan Defaulters]]=1,"Default", "Good")</f>
        <v>Default</v>
      </c>
      <c r="AD247" s="3">
        <f t="shared" si="26"/>
        <v>1</v>
      </c>
      <c r="AE247" s="4">
        <v>9019.33</v>
      </c>
      <c r="AF247" s="4" t="str">
        <f>IF(fin_table[[#This Row],[Monthly Income]]&lt;3000, "Low Income", IF(fin_table[[#This Row],[Monthly Income]]&lt;=5000, "Middle Income", "High Income"))</f>
        <v>High Income</v>
      </c>
      <c r="AG247" t="s">
        <v>45</v>
      </c>
      <c r="AH247" t="s">
        <v>3636</v>
      </c>
      <c r="AI247" t="str">
        <f t="shared" si="27"/>
        <v>High-Risk</v>
      </c>
    </row>
    <row r="248" spans="1:35" x14ac:dyDescent="0.35">
      <c r="A248" t="s">
        <v>989</v>
      </c>
      <c r="B248" t="s">
        <v>990</v>
      </c>
      <c r="C248" t="s">
        <v>991</v>
      </c>
      <c r="D248" s="1">
        <v>44775</v>
      </c>
      <c r="E248" s="1" t="str">
        <f t="shared" si="21"/>
        <v>02</v>
      </c>
      <c r="F248" s="1" t="str">
        <f t="shared" si="22"/>
        <v>Aug</v>
      </c>
      <c r="G248" s="6" t="s">
        <v>34</v>
      </c>
      <c r="H248" s="5">
        <v>7435.71</v>
      </c>
      <c r="I248" s="5" t="str">
        <f>IF(fin_table[[#This Row],[Account Balance]]&lt;20000,"Active", "Not Active")</f>
        <v>Not Active</v>
      </c>
      <c r="J248" s="5">
        <v>29648.74</v>
      </c>
      <c r="K248" s="5" t="str">
        <f t="shared" si="23"/>
        <v>Medium</v>
      </c>
      <c r="L248" s="6" t="s">
        <v>24</v>
      </c>
      <c r="M248">
        <v>38</v>
      </c>
      <c r="N248" s="6" t="str">
        <f t="shared" si="24"/>
        <v>Middle-Aged</v>
      </c>
      <c r="O248" s="6" t="s">
        <v>25</v>
      </c>
      <c r="P248" s="6" t="s">
        <v>26</v>
      </c>
      <c r="Q248" t="s">
        <v>992</v>
      </c>
      <c r="R248" s="6" t="s">
        <v>28</v>
      </c>
      <c r="S248" s="6" t="s">
        <v>44</v>
      </c>
      <c r="T248" s="14">
        <v>4.19E-2</v>
      </c>
      <c r="U248">
        <v>4.1900000000000004</v>
      </c>
      <c r="V248" t="str">
        <f>IF(fin_table[[#This Row],[Interest Rate(%)]]&gt;4,"high","low")</f>
        <v>high</v>
      </c>
      <c r="W248" s="5">
        <v>26681.654999999999</v>
      </c>
      <c r="X248" s="5">
        <f>fin_table[[#This Row],[Interest Rate]]*fin_table[[#This Row],[Loan Amount]]</f>
        <v>1117.9613445</v>
      </c>
      <c r="Y248">
        <v>6</v>
      </c>
      <c r="Z248" s="3">
        <v>640</v>
      </c>
      <c r="AA248" s="3" t="str">
        <f t="shared" si="25"/>
        <v>Fair</v>
      </c>
      <c r="AB248" s="3" cm="1">
        <f t="array" ref="AB248">_xlfn.IFS(fin_table[[#This Row],[Transaction Status]]="Failed", 1, fin_table[[#This Row],[Transaction Status]]="Completed",0,fin_table[[#This Row],[Transaction Status]]="Pending",2)</f>
        <v>0</v>
      </c>
      <c r="AC248" s="3" t="str">
        <f>IF(fin_table[[#This Row],[Loan Defaulters]]=1,"Default", "Good")</f>
        <v>Good</v>
      </c>
      <c r="AD248" s="3">
        <f t="shared" si="26"/>
        <v>2</v>
      </c>
      <c r="AE248" s="4">
        <v>4568.6000000000004</v>
      </c>
      <c r="AF248" s="4" t="str">
        <f>IF(fin_table[[#This Row],[Monthly Income]]&lt;3000, "Low Income", IF(fin_table[[#This Row],[Monthly Income]]&lt;=5000, "Middle Income", "High Income"))</f>
        <v>Middle Income</v>
      </c>
      <c r="AG248" t="s">
        <v>45</v>
      </c>
      <c r="AH248" t="s">
        <v>3635</v>
      </c>
      <c r="AI248" t="str">
        <f t="shared" si="27"/>
        <v>Low-Risk</v>
      </c>
    </row>
    <row r="249" spans="1:35" x14ac:dyDescent="0.35">
      <c r="A249" t="s">
        <v>993</v>
      </c>
      <c r="B249" t="s">
        <v>994</v>
      </c>
      <c r="C249" t="s">
        <v>995</v>
      </c>
      <c r="D249" s="1">
        <v>44726</v>
      </c>
      <c r="E249" s="1" t="str">
        <f t="shared" si="21"/>
        <v>14</v>
      </c>
      <c r="F249" s="1" t="str">
        <f t="shared" si="22"/>
        <v>Jun</v>
      </c>
      <c r="G249" s="6" t="s">
        <v>56</v>
      </c>
      <c r="H249" s="5">
        <v>5346.92</v>
      </c>
      <c r="I249" s="5" t="str">
        <f>IF(fin_table[[#This Row],[Account Balance]]&lt;20000,"Active", "Not Active")</f>
        <v>Active</v>
      </c>
      <c r="J249" s="5">
        <v>7548.88</v>
      </c>
      <c r="K249" s="5" t="str">
        <f t="shared" si="23"/>
        <v>Low</v>
      </c>
      <c r="L249" s="6" t="s">
        <v>49</v>
      </c>
      <c r="M249">
        <v>23</v>
      </c>
      <c r="N249" s="6" t="str">
        <f t="shared" si="24"/>
        <v>Young Adults</v>
      </c>
      <c r="O249" s="6" t="s">
        <v>25</v>
      </c>
      <c r="P249" s="6" t="s">
        <v>36</v>
      </c>
      <c r="Q249" t="s">
        <v>996</v>
      </c>
      <c r="R249" s="6" t="s">
        <v>38</v>
      </c>
      <c r="S249" s="6" t="s">
        <v>44</v>
      </c>
      <c r="T249" s="14">
        <v>4.1300000000000003E-2</v>
      </c>
      <c r="U249">
        <v>4.13</v>
      </c>
      <c r="V249" t="str">
        <f>IF(fin_table[[#This Row],[Interest Rate(%)]]&gt;4,"high","low")</f>
        <v>high</v>
      </c>
      <c r="W249" s="5">
        <v>17906.57</v>
      </c>
      <c r="X249" s="5">
        <f>fin_table[[#This Row],[Interest Rate]]*fin_table[[#This Row],[Loan Amount]]</f>
        <v>739.5413410000001</v>
      </c>
      <c r="Y249">
        <v>11</v>
      </c>
      <c r="Z249" s="3">
        <v>751</v>
      </c>
      <c r="AA249" s="3" t="str">
        <f t="shared" si="25"/>
        <v>Very Good</v>
      </c>
      <c r="AB249" s="3" cm="1">
        <f t="array" ref="AB249">_xlfn.IFS(fin_table[[#This Row],[Transaction Status]]="Failed", 1, fin_table[[#This Row],[Transaction Status]]="Completed",0,fin_table[[#This Row],[Transaction Status]]="Pending",2)</f>
        <v>0</v>
      </c>
      <c r="AC249" s="3" t="str">
        <f>IF(fin_table[[#This Row],[Loan Defaulters]]=1,"Default", "Good")</f>
        <v>Good</v>
      </c>
      <c r="AD249" s="3">
        <f t="shared" si="26"/>
        <v>4</v>
      </c>
      <c r="AE249" s="4">
        <v>7599.32</v>
      </c>
      <c r="AF249" s="4" t="str">
        <f>IF(fin_table[[#This Row],[Monthly Income]]&lt;3000, "Low Income", IF(fin_table[[#This Row],[Monthly Income]]&lt;=5000, "Middle Income", "High Income"))</f>
        <v>High Income</v>
      </c>
      <c r="AG249" t="s">
        <v>45</v>
      </c>
      <c r="AH249" t="s">
        <v>3636</v>
      </c>
      <c r="AI249" t="str">
        <f t="shared" si="27"/>
        <v>Low-Risk</v>
      </c>
    </row>
    <row r="250" spans="1:35" x14ac:dyDescent="0.35">
      <c r="A250" t="s">
        <v>997</v>
      </c>
      <c r="B250" t="s">
        <v>998</v>
      </c>
      <c r="C250" t="s">
        <v>999</v>
      </c>
      <c r="D250" s="1">
        <v>45132</v>
      </c>
      <c r="E250" s="1" t="str">
        <f t="shared" si="21"/>
        <v>25</v>
      </c>
      <c r="F250" s="1" t="str">
        <f t="shared" si="22"/>
        <v>Jul</v>
      </c>
      <c r="G250" s="6" t="s">
        <v>34</v>
      </c>
      <c r="H250" s="5">
        <v>8307.2800000000007</v>
      </c>
      <c r="I250" s="5" t="str">
        <f>IF(fin_table[[#This Row],[Account Balance]]&lt;20000,"Active", "Not Active")</f>
        <v>Not Active</v>
      </c>
      <c r="J250" s="5">
        <v>22749.1</v>
      </c>
      <c r="K250" s="5" t="str">
        <f t="shared" si="23"/>
        <v>Medium</v>
      </c>
      <c r="L250" s="6" t="s">
        <v>49</v>
      </c>
      <c r="M250">
        <v>38</v>
      </c>
      <c r="N250" s="6" t="str">
        <f t="shared" si="24"/>
        <v>Middle-Aged</v>
      </c>
      <c r="O250" s="6" t="s">
        <v>42</v>
      </c>
      <c r="P250" s="6" t="s">
        <v>26</v>
      </c>
      <c r="Q250" t="s">
        <v>1000</v>
      </c>
      <c r="R250" s="6" t="s">
        <v>28</v>
      </c>
      <c r="S250" s="6" t="s">
        <v>62</v>
      </c>
      <c r="T250" s="14">
        <v>2.41E-2</v>
      </c>
      <c r="U250">
        <v>2.41</v>
      </c>
      <c r="V250" t="str">
        <f>IF(fin_table[[#This Row],[Interest Rate(%)]]&gt;4,"high","low")</f>
        <v>low</v>
      </c>
      <c r="W250" s="5">
        <v>26681.654999999999</v>
      </c>
      <c r="X250" s="5">
        <f>fin_table[[#This Row],[Interest Rate]]*fin_table[[#This Row],[Loan Amount]]</f>
        <v>643.02788550000002</v>
      </c>
      <c r="Y250">
        <v>2</v>
      </c>
      <c r="Z250" s="3">
        <v>668</v>
      </c>
      <c r="AA250" s="3" t="str">
        <f t="shared" si="25"/>
        <v>Fair</v>
      </c>
      <c r="AB250" s="3" cm="1">
        <f t="array" ref="AB250">_xlfn.IFS(fin_table[[#This Row],[Transaction Status]]="Failed", 1, fin_table[[#This Row],[Transaction Status]]="Completed",0,fin_table[[#This Row],[Transaction Status]]="Pending",2)</f>
        <v>2</v>
      </c>
      <c r="AC250" s="3" t="str">
        <f>IF(fin_table[[#This Row],[Loan Defaulters]]=1,"Default", "Good")</f>
        <v>Good</v>
      </c>
      <c r="AD250" s="3">
        <f t="shared" si="26"/>
        <v>2</v>
      </c>
      <c r="AE250" s="4">
        <v>8522.14</v>
      </c>
      <c r="AF250" s="4" t="str">
        <f>IF(fin_table[[#This Row],[Monthly Income]]&lt;3000, "Low Income", IF(fin_table[[#This Row],[Monthly Income]]&lt;=5000, "Middle Income", "High Income"))</f>
        <v>High Income</v>
      </c>
      <c r="AG250" t="s">
        <v>30</v>
      </c>
      <c r="AH250" t="s">
        <v>3635</v>
      </c>
      <c r="AI250" t="str">
        <f t="shared" si="27"/>
        <v>Low-Risk</v>
      </c>
    </row>
    <row r="251" spans="1:35" x14ac:dyDescent="0.35">
      <c r="A251" t="s">
        <v>1001</v>
      </c>
      <c r="B251" t="s">
        <v>1002</v>
      </c>
      <c r="C251" t="s">
        <v>1003</v>
      </c>
      <c r="D251" s="1">
        <v>44882</v>
      </c>
      <c r="E251" s="1" t="str">
        <f t="shared" si="21"/>
        <v>17</v>
      </c>
      <c r="F251" s="1" t="str">
        <f t="shared" si="22"/>
        <v>Nov</v>
      </c>
      <c r="G251" s="6" t="s">
        <v>56</v>
      </c>
      <c r="H251" s="5">
        <v>9913.51</v>
      </c>
      <c r="I251" s="5" t="str">
        <f>IF(fin_table[[#This Row],[Account Balance]]&lt;20000,"Active", "Not Active")</f>
        <v>Not Active</v>
      </c>
      <c r="J251" s="5">
        <v>23088.04</v>
      </c>
      <c r="K251" s="5" t="str">
        <f t="shared" si="23"/>
        <v>Medium</v>
      </c>
      <c r="L251" s="6" t="s">
        <v>35</v>
      </c>
      <c r="M251">
        <v>56</v>
      </c>
      <c r="N251" s="6" t="str">
        <f t="shared" si="24"/>
        <v>Older Adults</v>
      </c>
      <c r="O251" s="6" t="s">
        <v>25</v>
      </c>
      <c r="P251" s="6" t="s">
        <v>26</v>
      </c>
      <c r="Q251" t="s">
        <v>1004</v>
      </c>
      <c r="R251" s="6" t="s">
        <v>38</v>
      </c>
      <c r="S251" s="6" t="s">
        <v>44</v>
      </c>
      <c r="T251" s="14">
        <v>2.1999999999999999E-2</v>
      </c>
      <c r="U251">
        <v>2.1999999999999999E-2</v>
      </c>
      <c r="V251" t="str">
        <f>IF(fin_table[[#This Row],[Interest Rate(%)]]&gt;4,"high","low")</f>
        <v>low</v>
      </c>
      <c r="W251" s="5">
        <v>38277.660000000003</v>
      </c>
      <c r="X251" s="5">
        <f>fin_table[[#This Row],[Interest Rate]]*fin_table[[#This Row],[Loan Amount]]</f>
        <v>842.10852</v>
      </c>
      <c r="Y251">
        <v>7</v>
      </c>
      <c r="Z251" s="3">
        <v>773</v>
      </c>
      <c r="AA251" s="3" t="str">
        <f t="shared" si="25"/>
        <v>Very Good</v>
      </c>
      <c r="AB251" s="3" cm="1">
        <f t="array" ref="AB251">_xlfn.IFS(fin_table[[#This Row],[Transaction Status]]="Failed", 1, fin_table[[#This Row],[Transaction Status]]="Completed",0,fin_table[[#This Row],[Transaction Status]]="Pending",2)</f>
        <v>0</v>
      </c>
      <c r="AC251" s="3" t="str">
        <f>IF(fin_table[[#This Row],[Loan Defaulters]]=1,"Default", "Good")</f>
        <v>Good</v>
      </c>
      <c r="AD251" s="3">
        <f t="shared" si="26"/>
        <v>4</v>
      </c>
      <c r="AE251" s="4">
        <v>13715.46</v>
      </c>
      <c r="AF251" s="4" t="str">
        <f>IF(fin_table[[#This Row],[Monthly Income]]&lt;3000, "Low Income", IF(fin_table[[#This Row],[Monthly Income]]&lt;=5000, "Middle Income", "High Income"))</f>
        <v>High Income</v>
      </c>
      <c r="AG251" t="s">
        <v>63</v>
      </c>
      <c r="AH251" t="s">
        <v>3636</v>
      </c>
      <c r="AI251" t="str">
        <f t="shared" si="27"/>
        <v>Low-Risk</v>
      </c>
    </row>
    <row r="252" spans="1:35" x14ac:dyDescent="0.35">
      <c r="A252" t="s">
        <v>1005</v>
      </c>
      <c r="B252" t="s">
        <v>1006</v>
      </c>
      <c r="C252" t="s">
        <v>1007</v>
      </c>
      <c r="D252" s="1">
        <v>44600</v>
      </c>
      <c r="E252" s="1" t="str">
        <f t="shared" si="21"/>
        <v>08</v>
      </c>
      <c r="F252" s="1" t="str">
        <f t="shared" si="22"/>
        <v>Feb</v>
      </c>
      <c r="G252" s="6" t="s">
        <v>71</v>
      </c>
      <c r="H252" s="5">
        <v>8218.1299999999992</v>
      </c>
      <c r="I252" s="5" t="str">
        <f>IF(fin_table[[#This Row],[Account Balance]]&lt;20000,"Active", "Not Active")</f>
        <v>Not Active</v>
      </c>
      <c r="J252" s="5">
        <v>47966.39</v>
      </c>
      <c r="K252" s="5" t="str">
        <f t="shared" si="23"/>
        <v>Medium</v>
      </c>
      <c r="L252" s="6" t="s">
        <v>35</v>
      </c>
      <c r="M252">
        <v>41</v>
      </c>
      <c r="N252" s="6" t="str">
        <f t="shared" si="24"/>
        <v>Middle-Aged</v>
      </c>
      <c r="O252" s="6" t="s">
        <v>42</v>
      </c>
      <c r="P252" s="6" t="s">
        <v>36</v>
      </c>
      <c r="Q252" t="s">
        <v>1008</v>
      </c>
      <c r="R252" s="6" t="s">
        <v>28</v>
      </c>
      <c r="S252" s="6" t="s">
        <v>29</v>
      </c>
      <c r="T252" s="14">
        <v>3.2399999999999998E-2</v>
      </c>
      <c r="U252">
        <v>3.24</v>
      </c>
      <c r="V252" t="str">
        <f>IF(fin_table[[#This Row],[Interest Rate(%)]]&gt;4,"high","low")</f>
        <v>low</v>
      </c>
      <c r="W252" s="5">
        <v>48583.11</v>
      </c>
      <c r="X252" s="5">
        <f>fin_table[[#This Row],[Interest Rate]]*fin_table[[#This Row],[Loan Amount]]</f>
        <v>1574.092764</v>
      </c>
      <c r="Y252">
        <v>13</v>
      </c>
      <c r="Z252" s="3">
        <v>489</v>
      </c>
      <c r="AA252" s="3" t="str">
        <f t="shared" si="25"/>
        <v>Poor</v>
      </c>
      <c r="AB252" s="3" cm="1">
        <f t="array" ref="AB252">_xlfn.IFS(fin_table[[#This Row],[Transaction Status]]="Failed", 1, fin_table[[#This Row],[Transaction Status]]="Completed",0,fin_table[[#This Row],[Transaction Status]]="Pending",2)</f>
        <v>1</v>
      </c>
      <c r="AC252" s="3" t="str">
        <f>IF(fin_table[[#This Row],[Loan Defaulters]]=1,"Default", "Good")</f>
        <v>Default</v>
      </c>
      <c r="AD252" s="3">
        <f t="shared" si="26"/>
        <v>1</v>
      </c>
      <c r="AE252" s="4">
        <v>5390.86</v>
      </c>
      <c r="AF252" s="4" t="str">
        <f>IF(fin_table[[#This Row],[Monthly Income]]&lt;3000, "Low Income", IF(fin_table[[#This Row],[Monthly Income]]&lt;=5000, "Middle Income", "High Income"))</f>
        <v>High Income</v>
      </c>
      <c r="AG252" t="s">
        <v>45</v>
      </c>
      <c r="AH252" t="s">
        <v>3636</v>
      </c>
      <c r="AI252" t="str">
        <f t="shared" si="27"/>
        <v>High-Risk</v>
      </c>
    </row>
    <row r="253" spans="1:35" x14ac:dyDescent="0.35">
      <c r="A253" t="s">
        <v>1009</v>
      </c>
      <c r="B253" t="s">
        <v>1010</v>
      </c>
      <c r="C253" t="s">
        <v>1011</v>
      </c>
      <c r="D253" s="1">
        <v>44889</v>
      </c>
      <c r="E253" s="1" t="str">
        <f t="shared" si="21"/>
        <v>24</v>
      </c>
      <c r="F253" s="1" t="str">
        <f t="shared" si="22"/>
        <v>Nov</v>
      </c>
      <c r="G253" s="6" t="s">
        <v>23</v>
      </c>
      <c r="H253" s="5">
        <v>6979.34</v>
      </c>
      <c r="I253" s="5" t="str">
        <f>IF(fin_table[[#This Row],[Account Balance]]&lt;20000,"Active", "Not Active")</f>
        <v>Not Active</v>
      </c>
      <c r="J253" s="5">
        <v>22123.26</v>
      </c>
      <c r="K253" s="5" t="str">
        <f t="shared" si="23"/>
        <v>Medium</v>
      </c>
      <c r="L253" s="6" t="s">
        <v>100</v>
      </c>
      <c r="M253">
        <v>50</v>
      </c>
      <c r="N253" s="6" t="str">
        <f t="shared" si="24"/>
        <v>Older Adults</v>
      </c>
      <c r="O253" s="6" t="s">
        <v>42</v>
      </c>
      <c r="P253" s="6" t="s">
        <v>50</v>
      </c>
      <c r="Q253" t="s">
        <v>1012</v>
      </c>
      <c r="R253" s="6" t="s">
        <v>52</v>
      </c>
      <c r="S253" s="6" t="s">
        <v>44</v>
      </c>
      <c r="T253" s="14">
        <v>1.03E-2</v>
      </c>
      <c r="U253">
        <v>1.03</v>
      </c>
      <c r="V253" t="str">
        <f>IF(fin_table[[#This Row],[Interest Rate(%)]]&gt;4,"high","low")</f>
        <v>low</v>
      </c>
      <c r="W253" s="5">
        <v>26681.654999999999</v>
      </c>
      <c r="X253" s="5">
        <f>fin_table[[#This Row],[Interest Rate]]*fin_table[[#This Row],[Loan Amount]]</f>
        <v>274.82104649999997</v>
      </c>
      <c r="Y253">
        <v>21</v>
      </c>
      <c r="Z253" s="3">
        <v>718</v>
      </c>
      <c r="AA253" s="3" t="str">
        <f t="shared" si="25"/>
        <v>Good</v>
      </c>
      <c r="AB253" s="3" cm="1">
        <f t="array" ref="AB253">_xlfn.IFS(fin_table[[#This Row],[Transaction Status]]="Failed", 1, fin_table[[#This Row],[Transaction Status]]="Completed",0,fin_table[[#This Row],[Transaction Status]]="Pending",2)</f>
        <v>0</v>
      </c>
      <c r="AC253" s="3" t="str">
        <f>IF(fin_table[[#This Row],[Loan Defaulters]]=1,"Default", "Good")</f>
        <v>Good</v>
      </c>
      <c r="AD253" s="3">
        <f t="shared" si="26"/>
        <v>3</v>
      </c>
      <c r="AE253" s="4">
        <v>13281.77</v>
      </c>
      <c r="AF253" s="4" t="str">
        <f>IF(fin_table[[#This Row],[Monthly Income]]&lt;3000, "Low Income", IF(fin_table[[#This Row],[Monthly Income]]&lt;=5000, "Middle Income", "High Income"))</f>
        <v>High Income</v>
      </c>
      <c r="AG253" t="s">
        <v>45</v>
      </c>
      <c r="AH253" t="s">
        <v>3635</v>
      </c>
      <c r="AI253" t="str">
        <f t="shared" si="27"/>
        <v>Low-Risk</v>
      </c>
    </row>
    <row r="254" spans="1:35" x14ac:dyDescent="0.35">
      <c r="A254" t="s">
        <v>1013</v>
      </c>
      <c r="B254" t="s">
        <v>115</v>
      </c>
      <c r="C254" t="s">
        <v>1014</v>
      </c>
      <c r="D254" s="1">
        <v>45046</v>
      </c>
      <c r="E254" s="1" t="str">
        <f t="shared" si="21"/>
        <v>30</v>
      </c>
      <c r="F254" s="1" t="str">
        <f t="shared" si="22"/>
        <v>Apr</v>
      </c>
      <c r="G254" s="6" t="s">
        <v>56</v>
      </c>
      <c r="H254" s="5">
        <v>5371.68</v>
      </c>
      <c r="I254" s="5" t="str">
        <f>IF(fin_table[[#This Row],[Account Balance]]&lt;20000,"Active", "Not Active")</f>
        <v>Not Active</v>
      </c>
      <c r="J254" s="5">
        <v>27917.79</v>
      </c>
      <c r="K254" s="5" t="str">
        <f t="shared" si="23"/>
        <v>Medium</v>
      </c>
      <c r="L254" s="6" t="s">
        <v>49</v>
      </c>
      <c r="M254">
        <v>35</v>
      </c>
      <c r="N254" s="6" t="str">
        <f t="shared" si="24"/>
        <v>Adults</v>
      </c>
      <c r="O254" s="6" t="s">
        <v>25</v>
      </c>
      <c r="P254" s="6" t="s">
        <v>26</v>
      </c>
      <c r="Q254" t="s">
        <v>1012</v>
      </c>
      <c r="R254" s="6" t="s">
        <v>38</v>
      </c>
      <c r="S254" s="6" t="s">
        <v>29</v>
      </c>
      <c r="T254" s="14">
        <v>1.3299999999999999E-2</v>
      </c>
      <c r="U254">
        <v>1.33</v>
      </c>
      <c r="V254" t="str">
        <f>IF(fin_table[[#This Row],[Interest Rate(%)]]&gt;4,"high","low")</f>
        <v>low</v>
      </c>
      <c r="W254" s="5">
        <v>42328.51</v>
      </c>
      <c r="X254" s="5">
        <f>fin_table[[#This Row],[Interest Rate]]*fin_table[[#This Row],[Loan Amount]]</f>
        <v>562.96918300000004</v>
      </c>
      <c r="Y254">
        <v>13</v>
      </c>
      <c r="Z254" s="3">
        <v>794</v>
      </c>
      <c r="AA254" s="3" t="str">
        <f t="shared" si="25"/>
        <v>Very Good</v>
      </c>
      <c r="AB254" s="3" cm="1">
        <f t="array" ref="AB254">_xlfn.IFS(fin_table[[#This Row],[Transaction Status]]="Failed", 1, fin_table[[#This Row],[Transaction Status]]="Completed",0,fin_table[[#This Row],[Transaction Status]]="Pending",2)</f>
        <v>1</v>
      </c>
      <c r="AC254" s="3" t="str">
        <f>IF(fin_table[[#This Row],[Loan Defaulters]]=1,"Default", "Good")</f>
        <v>Default</v>
      </c>
      <c r="AD254" s="3">
        <f t="shared" si="26"/>
        <v>4</v>
      </c>
      <c r="AE254" s="4">
        <v>10375.14</v>
      </c>
      <c r="AF254" s="4" t="str">
        <f>IF(fin_table[[#This Row],[Monthly Income]]&lt;3000, "Low Income", IF(fin_table[[#This Row],[Monthly Income]]&lt;=5000, "Middle Income", "High Income"))</f>
        <v>High Income</v>
      </c>
      <c r="AG254" t="s">
        <v>45</v>
      </c>
      <c r="AH254" t="s">
        <v>3636</v>
      </c>
      <c r="AI254" t="str">
        <f t="shared" si="27"/>
        <v>Low-Risk</v>
      </c>
    </row>
    <row r="255" spans="1:35" x14ac:dyDescent="0.35">
      <c r="A255" t="s">
        <v>1015</v>
      </c>
      <c r="B255" t="s">
        <v>1016</v>
      </c>
      <c r="C255" t="s">
        <v>1017</v>
      </c>
      <c r="D255" s="1">
        <v>45077</v>
      </c>
      <c r="E255" s="1" t="str">
        <f t="shared" si="21"/>
        <v>31</v>
      </c>
      <c r="F255" s="1" t="str">
        <f t="shared" si="22"/>
        <v>May</v>
      </c>
      <c r="G255" s="6" t="s">
        <v>34</v>
      </c>
      <c r="H255" s="5">
        <v>4543.6499999999996</v>
      </c>
      <c r="I255" s="5" t="str">
        <f>IF(fin_table[[#This Row],[Account Balance]]&lt;20000,"Active", "Not Active")</f>
        <v>Not Active</v>
      </c>
      <c r="J255" s="5">
        <v>27129.32</v>
      </c>
      <c r="K255" s="5" t="str">
        <f t="shared" si="23"/>
        <v>Medium</v>
      </c>
      <c r="L255" s="6" t="s">
        <v>49</v>
      </c>
      <c r="M255">
        <v>45</v>
      </c>
      <c r="N255" s="6" t="str">
        <f t="shared" si="24"/>
        <v>Middle-Aged</v>
      </c>
      <c r="O255" s="6" t="s">
        <v>42</v>
      </c>
      <c r="P255" s="6" t="s">
        <v>36</v>
      </c>
      <c r="Q255" t="s">
        <v>1018</v>
      </c>
      <c r="R255" s="6" t="s">
        <v>52</v>
      </c>
      <c r="S255" s="6" t="s">
        <v>29</v>
      </c>
      <c r="T255" s="14">
        <v>1.4999999999999999E-2</v>
      </c>
      <c r="U255">
        <v>1.4999999999999999E-2</v>
      </c>
      <c r="V255" t="str">
        <f>IF(fin_table[[#This Row],[Interest Rate(%)]]&gt;4,"high","low")</f>
        <v>low</v>
      </c>
      <c r="W255" s="5">
        <v>26681.654999999999</v>
      </c>
      <c r="X255" s="5">
        <f>fin_table[[#This Row],[Interest Rate]]*fin_table[[#This Row],[Loan Amount]]</f>
        <v>400.22482499999995</v>
      </c>
      <c r="Y255">
        <v>13</v>
      </c>
      <c r="Z255" s="3">
        <v>338</v>
      </c>
      <c r="AA255" s="3" t="str">
        <f t="shared" si="25"/>
        <v>Poor</v>
      </c>
      <c r="AB255" s="3" cm="1">
        <f t="array" ref="AB255">_xlfn.IFS(fin_table[[#This Row],[Transaction Status]]="Failed", 1, fin_table[[#This Row],[Transaction Status]]="Completed",0,fin_table[[#This Row],[Transaction Status]]="Pending",2)</f>
        <v>1</v>
      </c>
      <c r="AC255" s="3" t="str">
        <f>IF(fin_table[[#This Row],[Loan Defaulters]]=1,"Default", "Good")</f>
        <v>Default</v>
      </c>
      <c r="AD255" s="3">
        <f t="shared" si="26"/>
        <v>1</v>
      </c>
      <c r="AE255" s="4">
        <v>2264.4299999999998</v>
      </c>
      <c r="AF255" s="4" t="str">
        <f>IF(fin_table[[#This Row],[Monthly Income]]&lt;3000, "Low Income", IF(fin_table[[#This Row],[Monthly Income]]&lt;=5000, "Middle Income", "High Income"))</f>
        <v>Low Income</v>
      </c>
      <c r="AG255" t="s">
        <v>45</v>
      </c>
      <c r="AH255" t="s">
        <v>3635</v>
      </c>
      <c r="AI255" t="str">
        <f t="shared" si="27"/>
        <v>Low-Risk</v>
      </c>
    </row>
    <row r="256" spans="1:35" x14ac:dyDescent="0.35">
      <c r="A256" t="s">
        <v>1019</v>
      </c>
      <c r="B256" t="s">
        <v>1020</v>
      </c>
      <c r="C256" t="s">
        <v>1021</v>
      </c>
      <c r="D256" s="1">
        <v>44767</v>
      </c>
      <c r="E256" s="1" t="str">
        <f t="shared" si="21"/>
        <v>25</v>
      </c>
      <c r="F256" s="1" t="str">
        <f t="shared" si="22"/>
        <v>Jul</v>
      </c>
      <c r="G256" s="6" t="s">
        <v>23</v>
      </c>
      <c r="H256" s="5">
        <v>935.48</v>
      </c>
      <c r="I256" s="5" t="str">
        <f>IF(fin_table[[#This Row],[Account Balance]]&lt;20000,"Active", "Not Active")</f>
        <v>Not Active</v>
      </c>
      <c r="J256" s="5">
        <v>32201.32</v>
      </c>
      <c r="K256" s="5" t="str">
        <f t="shared" si="23"/>
        <v>Medium</v>
      </c>
      <c r="L256" s="6" t="s">
        <v>49</v>
      </c>
      <c r="M256">
        <v>69</v>
      </c>
      <c r="N256" s="6" t="str">
        <f t="shared" si="24"/>
        <v>Seniors</v>
      </c>
      <c r="O256" s="6" t="s">
        <v>42</v>
      </c>
      <c r="P256" s="6" t="s">
        <v>26</v>
      </c>
      <c r="Q256" t="s">
        <v>1022</v>
      </c>
      <c r="R256" s="6" t="s">
        <v>28</v>
      </c>
      <c r="S256" s="6" t="s">
        <v>62</v>
      </c>
      <c r="T256" s="14">
        <v>1.7399999999999999E-2</v>
      </c>
      <c r="U256">
        <v>1.74</v>
      </c>
      <c r="V256" t="str">
        <f>IF(fin_table[[#This Row],[Interest Rate(%)]]&gt;4,"high","low")</f>
        <v>low</v>
      </c>
      <c r="W256" s="5">
        <v>44306.29</v>
      </c>
      <c r="X256" s="5">
        <f>fin_table[[#This Row],[Interest Rate]]*fin_table[[#This Row],[Loan Amount]]</f>
        <v>770.92944599999998</v>
      </c>
      <c r="Y256">
        <v>13</v>
      </c>
      <c r="Z256" s="3">
        <v>461</v>
      </c>
      <c r="AA256" s="3" t="str">
        <f t="shared" si="25"/>
        <v>Poor</v>
      </c>
      <c r="AB256" s="3" cm="1">
        <f t="array" ref="AB256">_xlfn.IFS(fin_table[[#This Row],[Transaction Status]]="Failed", 1, fin_table[[#This Row],[Transaction Status]]="Completed",0,fin_table[[#This Row],[Transaction Status]]="Pending",2)</f>
        <v>2</v>
      </c>
      <c r="AC256" s="3" t="str">
        <f>IF(fin_table[[#This Row],[Loan Defaulters]]=1,"Default", "Good")</f>
        <v>Good</v>
      </c>
      <c r="AD256" s="3">
        <f t="shared" si="26"/>
        <v>1</v>
      </c>
      <c r="AE256" s="4">
        <v>11420.21</v>
      </c>
      <c r="AF256" s="4" t="str">
        <f>IF(fin_table[[#This Row],[Monthly Income]]&lt;3000, "Low Income", IF(fin_table[[#This Row],[Monthly Income]]&lt;=5000, "Middle Income", "High Income"))</f>
        <v>High Income</v>
      </c>
      <c r="AG256" t="s">
        <v>45</v>
      </c>
      <c r="AH256" t="s">
        <v>3636</v>
      </c>
      <c r="AI256" t="str">
        <f t="shared" si="27"/>
        <v>High-Risk</v>
      </c>
    </row>
    <row r="257" spans="1:35" x14ac:dyDescent="0.35">
      <c r="A257" t="s">
        <v>1023</v>
      </c>
      <c r="B257" t="s">
        <v>1024</v>
      </c>
      <c r="C257" t="s">
        <v>1025</v>
      </c>
      <c r="D257" s="1">
        <v>44751</v>
      </c>
      <c r="E257" s="1" t="str">
        <f t="shared" si="21"/>
        <v>09</v>
      </c>
      <c r="F257" s="1" t="str">
        <f t="shared" si="22"/>
        <v>Jul</v>
      </c>
      <c r="G257" s="6" t="s">
        <v>71</v>
      </c>
      <c r="H257" s="5">
        <v>4053.75</v>
      </c>
      <c r="I257" s="5" t="str">
        <f>IF(fin_table[[#This Row],[Account Balance]]&lt;20000,"Active", "Not Active")</f>
        <v>Not Active</v>
      </c>
      <c r="J257" s="5">
        <v>37663.410000000003</v>
      </c>
      <c r="K257" s="5" t="str">
        <f t="shared" si="23"/>
        <v>Medium</v>
      </c>
      <c r="L257" s="6" t="s">
        <v>35</v>
      </c>
      <c r="M257">
        <v>49</v>
      </c>
      <c r="N257" s="6" t="str">
        <f t="shared" si="24"/>
        <v>Older Adults</v>
      </c>
      <c r="O257" s="6" t="s">
        <v>42</v>
      </c>
      <c r="P257" s="6" t="s">
        <v>26</v>
      </c>
      <c r="Q257" t="s">
        <v>516</v>
      </c>
      <c r="R257" s="6" t="s">
        <v>38</v>
      </c>
      <c r="S257" s="6" t="s">
        <v>62</v>
      </c>
      <c r="T257" s="14">
        <v>3.0499999999999999E-2</v>
      </c>
      <c r="U257">
        <v>3.05</v>
      </c>
      <c r="V257" t="str">
        <f>IF(fin_table[[#This Row],[Interest Rate(%)]]&gt;4,"high","low")</f>
        <v>low</v>
      </c>
      <c r="W257" s="5">
        <v>15221.74</v>
      </c>
      <c r="X257" s="5">
        <f>fin_table[[#This Row],[Interest Rate]]*fin_table[[#This Row],[Loan Amount]]</f>
        <v>464.26306999999997</v>
      </c>
      <c r="Y257">
        <v>21</v>
      </c>
      <c r="Z257" s="3">
        <v>420</v>
      </c>
      <c r="AA257" s="3" t="str">
        <f t="shared" si="25"/>
        <v>Poor</v>
      </c>
      <c r="AB257" s="3" cm="1">
        <f t="array" ref="AB257">_xlfn.IFS(fin_table[[#This Row],[Transaction Status]]="Failed", 1, fin_table[[#This Row],[Transaction Status]]="Completed",0,fin_table[[#This Row],[Transaction Status]]="Pending",2)</f>
        <v>2</v>
      </c>
      <c r="AC257" s="3" t="str">
        <f>IF(fin_table[[#This Row],[Loan Defaulters]]=1,"Default", "Good")</f>
        <v>Good</v>
      </c>
      <c r="AD257" s="3">
        <f t="shared" si="26"/>
        <v>1</v>
      </c>
      <c r="AE257" s="4">
        <v>2462.17</v>
      </c>
      <c r="AF257" s="4" t="str">
        <f>IF(fin_table[[#This Row],[Monthly Income]]&lt;3000, "Low Income", IF(fin_table[[#This Row],[Monthly Income]]&lt;=5000, "Middle Income", "High Income"))</f>
        <v>Low Income</v>
      </c>
      <c r="AG257" t="s">
        <v>45</v>
      </c>
      <c r="AH257" t="s">
        <v>3636</v>
      </c>
      <c r="AI257" t="str">
        <f t="shared" si="27"/>
        <v>Low-Risk</v>
      </c>
    </row>
    <row r="258" spans="1:35" x14ac:dyDescent="0.35">
      <c r="A258" t="s">
        <v>1026</v>
      </c>
      <c r="B258" t="s">
        <v>1027</v>
      </c>
      <c r="C258" t="s">
        <v>1028</v>
      </c>
      <c r="D258" s="1">
        <v>44961</v>
      </c>
      <c r="E258" s="1" t="str">
        <f t="shared" ref="E258:E321" si="28">TEXT(D258, "DD")</f>
        <v>04</v>
      </c>
      <c r="F258" s="1" t="str">
        <f t="shared" ref="F258:F321" si="29">TEXT(D258, "MMM")</f>
        <v>Feb</v>
      </c>
      <c r="G258" s="6" t="s">
        <v>56</v>
      </c>
      <c r="H258" s="5">
        <v>9110.33</v>
      </c>
      <c r="I258" s="5" t="str">
        <f>IF(fin_table[[#This Row],[Account Balance]]&lt;20000,"Active", "Not Active")</f>
        <v>Active</v>
      </c>
      <c r="J258" s="5">
        <v>12027.05</v>
      </c>
      <c r="K258" s="5" t="str">
        <f t="shared" ref="K258:K321" si="30">IF(J258&lt;10000, "Low", IF(J258&lt;50000, "Medium", "High"))</f>
        <v>Medium</v>
      </c>
      <c r="L258" s="6" t="s">
        <v>24</v>
      </c>
      <c r="M258">
        <v>29</v>
      </c>
      <c r="N258" s="6" t="str">
        <f t="shared" ref="N258:N321" si="31">IF(M258&lt;18, "Teenagers", IF(M258&lt;=25, "Young Adults", IF(M258&lt;=35, "Adults", IF(M258&lt;=45, "Middle-Aged", IF(M258&lt;=60, "Older Adults", "Seniors")))))</f>
        <v>Adults</v>
      </c>
      <c r="O258" s="6" t="s">
        <v>42</v>
      </c>
      <c r="P258" s="6" t="s">
        <v>26</v>
      </c>
      <c r="Q258" t="s">
        <v>1029</v>
      </c>
      <c r="R258" s="6" t="s">
        <v>38</v>
      </c>
      <c r="S258" s="6" t="s">
        <v>62</v>
      </c>
      <c r="T258" s="14">
        <v>4.9700000000000001E-2</v>
      </c>
      <c r="U258">
        <v>4.97</v>
      </c>
      <c r="V258" t="str">
        <f>IF(fin_table[[#This Row],[Interest Rate(%)]]&gt;4,"high","low")</f>
        <v>high</v>
      </c>
      <c r="W258" s="5">
        <v>26681.654999999999</v>
      </c>
      <c r="X258" s="5">
        <f>fin_table[[#This Row],[Interest Rate]]*fin_table[[#This Row],[Loan Amount]]</f>
        <v>1326.0782535000001</v>
      </c>
      <c r="Y258">
        <v>19</v>
      </c>
      <c r="Z258" s="3">
        <v>698</v>
      </c>
      <c r="AA258" s="3" t="str">
        <f t="shared" ref="AA258:AA321" si="32">IF(Z258&lt;580, "Poor", IF(Z258&lt;670, "Fair", IF(Z258&lt;740, "Good", IF(Z258&lt;800, "Very Good", "Excellent"))))</f>
        <v>Good</v>
      </c>
      <c r="AB258" s="3" cm="1">
        <f t="array" ref="AB258">_xlfn.IFS(fin_table[[#This Row],[Transaction Status]]="Failed", 1, fin_table[[#This Row],[Transaction Status]]="Completed",0,fin_table[[#This Row],[Transaction Status]]="Pending",2)</f>
        <v>2</v>
      </c>
      <c r="AC258" s="3" t="str">
        <f>IF(fin_table[[#This Row],[Loan Defaulters]]=1,"Default", "Good")</f>
        <v>Good</v>
      </c>
      <c r="AD258" s="3">
        <f t="shared" ref="AD258:AD321" si="33">IF(AA258="Poor", 1, IF(AA258="Fair", 2, IF(AA258="Good", 3, IF(AA258="Very Good", 4, IF(AA258="Excellent", 5, "")))))</f>
        <v>3</v>
      </c>
      <c r="AE258" s="4">
        <v>14965.95</v>
      </c>
      <c r="AF258" s="4" t="str">
        <f>IF(fin_table[[#This Row],[Monthly Income]]&lt;3000, "Low Income", IF(fin_table[[#This Row],[Monthly Income]]&lt;=5000, "Middle Income", "High Income"))</f>
        <v>High Income</v>
      </c>
      <c r="AG258" t="s">
        <v>63</v>
      </c>
      <c r="AH258" t="s">
        <v>3635</v>
      </c>
      <c r="AI258" t="str">
        <f t="shared" ref="AI258:AI321" si="34">IF(AND(W258&gt;33000, Z258&lt;600), "High-Risk", "Low-Risk")</f>
        <v>Low-Risk</v>
      </c>
    </row>
    <row r="259" spans="1:35" x14ac:dyDescent="0.35">
      <c r="A259" t="s">
        <v>1030</v>
      </c>
      <c r="B259" t="s">
        <v>1031</v>
      </c>
      <c r="C259" t="s">
        <v>1032</v>
      </c>
      <c r="D259" s="1">
        <v>44662</v>
      </c>
      <c r="E259" s="1" t="str">
        <f t="shared" si="28"/>
        <v>11</v>
      </c>
      <c r="F259" s="1" t="str">
        <f t="shared" si="29"/>
        <v>Apr</v>
      </c>
      <c r="G259" s="6" t="s">
        <v>56</v>
      </c>
      <c r="H259" s="5">
        <v>8099.42</v>
      </c>
      <c r="I259" s="5" t="str">
        <f>IF(fin_table[[#This Row],[Account Balance]]&lt;20000,"Active", "Not Active")</f>
        <v>Not Active</v>
      </c>
      <c r="J259" s="5">
        <v>26907.5</v>
      </c>
      <c r="K259" s="5" t="str">
        <f t="shared" si="30"/>
        <v>Medium</v>
      </c>
      <c r="L259" s="6" t="s">
        <v>125</v>
      </c>
      <c r="M259">
        <v>65</v>
      </c>
      <c r="N259" s="6" t="str">
        <f t="shared" si="31"/>
        <v>Seniors</v>
      </c>
      <c r="O259" s="6" t="s">
        <v>25</v>
      </c>
      <c r="P259" s="6" t="s">
        <v>26</v>
      </c>
      <c r="Q259" t="s">
        <v>351</v>
      </c>
      <c r="R259" s="6" t="s">
        <v>52</v>
      </c>
      <c r="S259" s="6" t="s">
        <v>62</v>
      </c>
      <c r="T259" s="14">
        <v>3.61E-2</v>
      </c>
      <c r="U259">
        <v>3.61</v>
      </c>
      <c r="V259" t="str">
        <f>IF(fin_table[[#This Row],[Interest Rate(%)]]&gt;4,"high","low")</f>
        <v>low</v>
      </c>
      <c r="W259" s="5">
        <v>26681.654999999999</v>
      </c>
      <c r="X259" s="5">
        <f>fin_table[[#This Row],[Interest Rate]]*fin_table[[#This Row],[Loan Amount]]</f>
        <v>963.20774549999999</v>
      </c>
      <c r="Y259">
        <v>4</v>
      </c>
      <c r="Z259" s="3">
        <v>561</v>
      </c>
      <c r="AA259" s="3" t="str">
        <f t="shared" si="32"/>
        <v>Poor</v>
      </c>
      <c r="AB259" s="3" cm="1">
        <f t="array" ref="AB259">_xlfn.IFS(fin_table[[#This Row],[Transaction Status]]="Failed", 1, fin_table[[#This Row],[Transaction Status]]="Completed",0,fin_table[[#This Row],[Transaction Status]]="Pending",2)</f>
        <v>2</v>
      </c>
      <c r="AC259" s="3" t="str">
        <f>IF(fin_table[[#This Row],[Loan Defaulters]]=1,"Default", "Good")</f>
        <v>Good</v>
      </c>
      <c r="AD259" s="3">
        <f t="shared" si="33"/>
        <v>1</v>
      </c>
      <c r="AE259" s="4">
        <v>13344.28</v>
      </c>
      <c r="AF259" s="4" t="str">
        <f>IF(fin_table[[#This Row],[Monthly Income]]&lt;3000, "Low Income", IF(fin_table[[#This Row],[Monthly Income]]&lt;=5000, "Middle Income", "High Income"))</f>
        <v>High Income</v>
      </c>
      <c r="AG259" t="s">
        <v>45</v>
      </c>
      <c r="AH259" t="s">
        <v>3635</v>
      </c>
      <c r="AI259" t="str">
        <f t="shared" si="34"/>
        <v>Low-Risk</v>
      </c>
    </row>
    <row r="260" spans="1:35" x14ac:dyDescent="0.35">
      <c r="A260" t="s">
        <v>1033</v>
      </c>
      <c r="B260" t="s">
        <v>1034</v>
      </c>
      <c r="C260" t="s">
        <v>1035</v>
      </c>
      <c r="D260" s="1">
        <v>44856</v>
      </c>
      <c r="E260" s="1" t="str">
        <f t="shared" si="28"/>
        <v>22</v>
      </c>
      <c r="F260" s="1" t="str">
        <f t="shared" si="29"/>
        <v>Oct</v>
      </c>
      <c r="G260" s="6" t="s">
        <v>56</v>
      </c>
      <c r="H260" s="5">
        <v>2238.91</v>
      </c>
      <c r="I260" s="5" t="str">
        <f>IF(fin_table[[#This Row],[Account Balance]]&lt;20000,"Active", "Not Active")</f>
        <v>Not Active</v>
      </c>
      <c r="J260" s="5">
        <v>41469.97</v>
      </c>
      <c r="K260" s="5" t="str">
        <f t="shared" si="30"/>
        <v>Medium</v>
      </c>
      <c r="L260" s="6" t="s">
        <v>35</v>
      </c>
      <c r="M260">
        <v>59</v>
      </c>
      <c r="N260" s="6" t="str">
        <f t="shared" si="31"/>
        <v>Older Adults</v>
      </c>
      <c r="O260" s="6" t="s">
        <v>42</v>
      </c>
      <c r="P260" s="6" t="s">
        <v>26</v>
      </c>
      <c r="Q260" t="s">
        <v>1036</v>
      </c>
      <c r="R260" s="6" t="s">
        <v>38</v>
      </c>
      <c r="S260" s="6" t="s">
        <v>44</v>
      </c>
      <c r="T260" s="14">
        <v>1.2500000000000001E-2</v>
      </c>
      <c r="U260">
        <v>1.25</v>
      </c>
      <c r="V260" t="str">
        <f>IF(fin_table[[#This Row],[Interest Rate(%)]]&gt;4,"high","low")</f>
        <v>low</v>
      </c>
      <c r="W260" s="5">
        <v>28911.24</v>
      </c>
      <c r="X260" s="5">
        <f>fin_table[[#This Row],[Interest Rate]]*fin_table[[#This Row],[Loan Amount]]</f>
        <v>361.39050000000003</v>
      </c>
      <c r="Y260">
        <v>13</v>
      </c>
      <c r="Z260" s="3">
        <v>428</v>
      </c>
      <c r="AA260" s="3" t="str">
        <f t="shared" si="32"/>
        <v>Poor</v>
      </c>
      <c r="AB260" s="3" cm="1">
        <f t="array" ref="AB260">_xlfn.IFS(fin_table[[#This Row],[Transaction Status]]="Failed", 1, fin_table[[#This Row],[Transaction Status]]="Completed",0,fin_table[[#This Row],[Transaction Status]]="Pending",2)</f>
        <v>0</v>
      </c>
      <c r="AC260" s="3" t="str">
        <f>IF(fin_table[[#This Row],[Loan Defaulters]]=1,"Default", "Good")</f>
        <v>Good</v>
      </c>
      <c r="AD260" s="3">
        <f t="shared" si="33"/>
        <v>1</v>
      </c>
      <c r="AE260" s="4">
        <v>5865.47</v>
      </c>
      <c r="AF260" s="4" t="str">
        <f>IF(fin_table[[#This Row],[Monthly Income]]&lt;3000, "Low Income", IF(fin_table[[#This Row],[Monthly Income]]&lt;=5000, "Middle Income", "High Income"))</f>
        <v>High Income</v>
      </c>
      <c r="AG260" t="s">
        <v>63</v>
      </c>
      <c r="AH260" t="s">
        <v>3636</v>
      </c>
      <c r="AI260" t="str">
        <f t="shared" si="34"/>
        <v>Low-Risk</v>
      </c>
    </row>
    <row r="261" spans="1:35" x14ac:dyDescent="0.35">
      <c r="A261" t="s">
        <v>1037</v>
      </c>
      <c r="B261" t="s">
        <v>1038</v>
      </c>
      <c r="C261" t="s">
        <v>1039</v>
      </c>
      <c r="D261" s="1">
        <v>44769</v>
      </c>
      <c r="E261" s="1" t="str">
        <f t="shared" si="28"/>
        <v>27</v>
      </c>
      <c r="F261" s="1" t="str">
        <f t="shared" si="29"/>
        <v>Jul</v>
      </c>
      <c r="G261" s="6" t="s">
        <v>23</v>
      </c>
      <c r="H261" s="5">
        <v>4719.42</v>
      </c>
      <c r="I261" s="5" t="str">
        <f>IF(fin_table[[#This Row],[Account Balance]]&lt;20000,"Active", "Not Active")</f>
        <v>Not Active</v>
      </c>
      <c r="J261" s="5">
        <v>23692.62</v>
      </c>
      <c r="K261" s="5" t="str">
        <f t="shared" si="30"/>
        <v>Medium</v>
      </c>
      <c r="L261" s="6" t="s">
        <v>49</v>
      </c>
      <c r="M261">
        <v>44</v>
      </c>
      <c r="N261" s="6" t="str">
        <f t="shared" si="31"/>
        <v>Middle-Aged</v>
      </c>
      <c r="O261" s="6" t="s">
        <v>42</v>
      </c>
      <c r="P261" s="6" t="s">
        <v>50</v>
      </c>
      <c r="Q261" t="s">
        <v>1040</v>
      </c>
      <c r="R261" s="6" t="s">
        <v>38</v>
      </c>
      <c r="S261" s="6" t="s">
        <v>62</v>
      </c>
      <c r="T261" s="14">
        <v>3.1E-2</v>
      </c>
      <c r="U261">
        <v>3.1E-2</v>
      </c>
      <c r="V261" t="str">
        <f>IF(fin_table[[#This Row],[Interest Rate(%)]]&gt;4,"high","low")</f>
        <v>low</v>
      </c>
      <c r="W261" s="5">
        <v>14056.27</v>
      </c>
      <c r="X261" s="5">
        <f>fin_table[[#This Row],[Interest Rate]]*fin_table[[#This Row],[Loan Amount]]</f>
        <v>435.74437</v>
      </c>
      <c r="Y261">
        <v>13</v>
      </c>
      <c r="Z261" s="3">
        <v>839</v>
      </c>
      <c r="AA261" s="3" t="str">
        <f t="shared" si="32"/>
        <v>Excellent</v>
      </c>
      <c r="AB261" s="3" cm="1">
        <f t="array" ref="AB261">_xlfn.IFS(fin_table[[#This Row],[Transaction Status]]="Failed", 1, fin_table[[#This Row],[Transaction Status]]="Completed",0,fin_table[[#This Row],[Transaction Status]]="Pending",2)</f>
        <v>2</v>
      </c>
      <c r="AC261" s="3" t="str">
        <f>IF(fin_table[[#This Row],[Loan Defaulters]]=1,"Default", "Good")</f>
        <v>Good</v>
      </c>
      <c r="AD261" s="3">
        <f t="shared" si="33"/>
        <v>5</v>
      </c>
      <c r="AE261" s="4">
        <v>5346.35</v>
      </c>
      <c r="AF261" s="4" t="str">
        <f>IF(fin_table[[#This Row],[Monthly Income]]&lt;3000, "Low Income", IF(fin_table[[#This Row],[Monthly Income]]&lt;=5000, "Middle Income", "High Income"))</f>
        <v>High Income</v>
      </c>
      <c r="AG261" t="s">
        <v>30</v>
      </c>
      <c r="AH261" t="s">
        <v>3636</v>
      </c>
      <c r="AI261" t="str">
        <f t="shared" si="34"/>
        <v>Low-Risk</v>
      </c>
    </row>
    <row r="262" spans="1:35" x14ac:dyDescent="0.35">
      <c r="A262" t="s">
        <v>1041</v>
      </c>
      <c r="B262" t="s">
        <v>1042</v>
      </c>
      <c r="C262" t="s">
        <v>1043</v>
      </c>
      <c r="D262" s="1">
        <v>44770</v>
      </c>
      <c r="E262" s="1" t="str">
        <f t="shared" si="28"/>
        <v>28</v>
      </c>
      <c r="F262" s="1" t="str">
        <f t="shared" si="29"/>
        <v>Jul</v>
      </c>
      <c r="G262" s="6" t="s">
        <v>34</v>
      </c>
      <c r="H262" s="5">
        <v>8185.56</v>
      </c>
      <c r="I262" s="5" t="str">
        <f>IF(fin_table[[#This Row],[Account Balance]]&lt;20000,"Active", "Not Active")</f>
        <v>Active</v>
      </c>
      <c r="J262" s="5">
        <v>14644.42</v>
      </c>
      <c r="K262" s="5" t="str">
        <f t="shared" si="30"/>
        <v>Medium</v>
      </c>
      <c r="L262" s="6" t="s">
        <v>35</v>
      </c>
      <c r="M262">
        <v>27</v>
      </c>
      <c r="N262" s="6" t="str">
        <f t="shared" si="31"/>
        <v>Adults</v>
      </c>
      <c r="O262" s="6" t="s">
        <v>42</v>
      </c>
      <c r="P262" s="6" t="s">
        <v>50</v>
      </c>
      <c r="Q262" t="s">
        <v>1044</v>
      </c>
      <c r="R262" s="6" t="s">
        <v>52</v>
      </c>
      <c r="S262" s="6" t="s">
        <v>44</v>
      </c>
      <c r="T262" s="14">
        <v>2.9899999999999999E-2</v>
      </c>
      <c r="U262">
        <v>2.99</v>
      </c>
      <c r="V262" t="str">
        <f>IF(fin_table[[#This Row],[Interest Rate(%)]]&gt;4,"high","low")</f>
        <v>low</v>
      </c>
      <c r="W262" s="5">
        <v>26681.654999999999</v>
      </c>
      <c r="X262" s="5">
        <f>fin_table[[#This Row],[Interest Rate]]*fin_table[[#This Row],[Loan Amount]]</f>
        <v>797.78148449999992</v>
      </c>
      <c r="Y262">
        <v>13</v>
      </c>
      <c r="Z262" s="3">
        <v>655</v>
      </c>
      <c r="AA262" s="3" t="str">
        <f t="shared" si="32"/>
        <v>Fair</v>
      </c>
      <c r="AB262" s="3" cm="1">
        <f t="array" ref="AB262">_xlfn.IFS(fin_table[[#This Row],[Transaction Status]]="Failed", 1, fin_table[[#This Row],[Transaction Status]]="Completed",0,fin_table[[#This Row],[Transaction Status]]="Pending",2)</f>
        <v>0</v>
      </c>
      <c r="AC262" s="3" t="str">
        <f>IF(fin_table[[#This Row],[Loan Defaulters]]=1,"Default", "Good")</f>
        <v>Good</v>
      </c>
      <c r="AD262" s="3">
        <f t="shared" si="33"/>
        <v>2</v>
      </c>
      <c r="AE262" s="4">
        <v>6958.73</v>
      </c>
      <c r="AF262" s="4" t="str">
        <f>IF(fin_table[[#This Row],[Monthly Income]]&lt;3000, "Low Income", IF(fin_table[[#This Row],[Monthly Income]]&lt;=5000, "Middle Income", "High Income"))</f>
        <v>High Income</v>
      </c>
      <c r="AG262" t="s">
        <v>63</v>
      </c>
      <c r="AH262" t="s">
        <v>3635</v>
      </c>
      <c r="AI262" t="str">
        <f t="shared" si="34"/>
        <v>Low-Risk</v>
      </c>
    </row>
    <row r="263" spans="1:35" x14ac:dyDescent="0.35">
      <c r="A263" t="s">
        <v>1045</v>
      </c>
      <c r="B263" t="s">
        <v>1046</v>
      </c>
      <c r="C263" t="s">
        <v>1047</v>
      </c>
      <c r="D263" s="1">
        <v>44611</v>
      </c>
      <c r="E263" s="1" t="str">
        <f t="shared" si="28"/>
        <v>19</v>
      </c>
      <c r="F263" s="1" t="str">
        <f t="shared" si="29"/>
        <v>Feb</v>
      </c>
      <c r="G263" s="6" t="s">
        <v>34</v>
      </c>
      <c r="H263" s="5">
        <v>767.11</v>
      </c>
      <c r="I263" s="5" t="str">
        <f>IF(fin_table[[#This Row],[Account Balance]]&lt;20000,"Active", "Not Active")</f>
        <v>Not Active</v>
      </c>
      <c r="J263" s="5">
        <v>33080.74</v>
      </c>
      <c r="K263" s="5" t="str">
        <f t="shared" si="30"/>
        <v>Medium</v>
      </c>
      <c r="L263" s="6" t="s">
        <v>100</v>
      </c>
      <c r="M263">
        <v>63</v>
      </c>
      <c r="N263" s="6" t="str">
        <f t="shared" si="31"/>
        <v>Seniors</v>
      </c>
      <c r="O263" s="6" t="s">
        <v>25</v>
      </c>
      <c r="P263" s="6" t="s">
        <v>36</v>
      </c>
      <c r="Q263" t="s">
        <v>1048</v>
      </c>
      <c r="R263" s="6" t="s">
        <v>38</v>
      </c>
      <c r="S263" s="6" t="s">
        <v>62</v>
      </c>
      <c r="T263" s="14">
        <v>1.5800000000000002E-2</v>
      </c>
      <c r="U263">
        <v>1.58</v>
      </c>
      <c r="V263" t="str">
        <f>IF(fin_table[[#This Row],[Interest Rate(%)]]&gt;4,"high","low")</f>
        <v>low</v>
      </c>
      <c r="W263" s="5">
        <v>26681.654999999999</v>
      </c>
      <c r="X263" s="5">
        <f>fin_table[[#This Row],[Interest Rate]]*fin_table[[#This Row],[Loan Amount]]</f>
        <v>421.57014900000001</v>
      </c>
      <c r="Y263">
        <v>13</v>
      </c>
      <c r="Z263" s="3">
        <v>731</v>
      </c>
      <c r="AA263" s="3" t="str">
        <f t="shared" si="32"/>
        <v>Good</v>
      </c>
      <c r="AB263" s="3" cm="1">
        <f t="array" ref="AB263">_xlfn.IFS(fin_table[[#This Row],[Transaction Status]]="Failed", 1, fin_table[[#This Row],[Transaction Status]]="Completed",0,fin_table[[#This Row],[Transaction Status]]="Pending",2)</f>
        <v>2</v>
      </c>
      <c r="AC263" s="3" t="str">
        <f>IF(fin_table[[#This Row],[Loan Defaulters]]=1,"Default", "Good")</f>
        <v>Good</v>
      </c>
      <c r="AD263" s="3">
        <f t="shared" si="33"/>
        <v>3</v>
      </c>
      <c r="AE263" s="4">
        <v>6630.17</v>
      </c>
      <c r="AF263" s="4" t="str">
        <f>IF(fin_table[[#This Row],[Monthly Income]]&lt;3000, "Low Income", IF(fin_table[[#This Row],[Monthly Income]]&lt;=5000, "Middle Income", "High Income"))</f>
        <v>High Income</v>
      </c>
      <c r="AG263" t="s">
        <v>30</v>
      </c>
      <c r="AH263" t="s">
        <v>3635</v>
      </c>
      <c r="AI263" t="str">
        <f t="shared" si="34"/>
        <v>Low-Risk</v>
      </c>
    </row>
    <row r="264" spans="1:35" x14ac:dyDescent="0.35">
      <c r="A264" t="s">
        <v>1049</v>
      </c>
      <c r="B264" t="s">
        <v>1050</v>
      </c>
      <c r="C264" t="s">
        <v>1051</v>
      </c>
      <c r="D264" s="1">
        <v>44766</v>
      </c>
      <c r="E264" s="1" t="str">
        <f t="shared" si="28"/>
        <v>24</v>
      </c>
      <c r="F264" s="1" t="str">
        <f t="shared" si="29"/>
        <v>Jul</v>
      </c>
      <c r="G264" s="6" t="s">
        <v>56</v>
      </c>
      <c r="H264" s="5">
        <v>3935.19</v>
      </c>
      <c r="I264" s="5" t="str">
        <f>IF(fin_table[[#This Row],[Account Balance]]&lt;20000,"Active", "Not Active")</f>
        <v>Not Active</v>
      </c>
      <c r="J264" s="5">
        <v>41364.6</v>
      </c>
      <c r="K264" s="5" t="str">
        <f t="shared" si="30"/>
        <v>Medium</v>
      </c>
      <c r="L264" s="6" t="s">
        <v>49</v>
      </c>
      <c r="M264">
        <v>69</v>
      </c>
      <c r="N264" s="6" t="str">
        <f t="shared" si="31"/>
        <v>Seniors</v>
      </c>
      <c r="O264" s="6" t="s">
        <v>42</v>
      </c>
      <c r="P264" s="6" t="s">
        <v>50</v>
      </c>
      <c r="Q264" t="s">
        <v>1052</v>
      </c>
      <c r="R264" s="6" t="s">
        <v>52</v>
      </c>
      <c r="S264" s="6" t="s">
        <v>62</v>
      </c>
      <c r="T264" s="14">
        <v>4.6800000000000001E-2</v>
      </c>
      <c r="U264">
        <v>4.68</v>
      </c>
      <c r="V264" t="str">
        <f>IF(fin_table[[#This Row],[Interest Rate(%)]]&gt;4,"high","low")</f>
        <v>high</v>
      </c>
      <c r="W264" s="5">
        <v>26681.654999999999</v>
      </c>
      <c r="X264" s="5">
        <f>fin_table[[#This Row],[Interest Rate]]*fin_table[[#This Row],[Loan Amount]]</f>
        <v>1248.701454</v>
      </c>
      <c r="Y264">
        <v>25</v>
      </c>
      <c r="Z264" s="3">
        <v>364</v>
      </c>
      <c r="AA264" s="3" t="str">
        <f t="shared" si="32"/>
        <v>Poor</v>
      </c>
      <c r="AB264" s="3" cm="1">
        <f t="array" ref="AB264">_xlfn.IFS(fin_table[[#This Row],[Transaction Status]]="Failed", 1, fin_table[[#This Row],[Transaction Status]]="Completed",0,fin_table[[#This Row],[Transaction Status]]="Pending",2)</f>
        <v>2</v>
      </c>
      <c r="AC264" s="3" t="str">
        <f>IF(fin_table[[#This Row],[Loan Defaulters]]=1,"Default", "Good")</f>
        <v>Good</v>
      </c>
      <c r="AD264" s="3">
        <f t="shared" si="33"/>
        <v>1</v>
      </c>
      <c r="AE264" s="4">
        <v>6840.39</v>
      </c>
      <c r="AF264" s="4" t="str">
        <f>IF(fin_table[[#This Row],[Monthly Income]]&lt;3000, "Low Income", IF(fin_table[[#This Row],[Monthly Income]]&lt;=5000, "Middle Income", "High Income"))</f>
        <v>High Income</v>
      </c>
      <c r="AG264" t="s">
        <v>63</v>
      </c>
      <c r="AH264" t="s">
        <v>3635</v>
      </c>
      <c r="AI264" t="str">
        <f t="shared" si="34"/>
        <v>Low-Risk</v>
      </c>
    </row>
    <row r="265" spans="1:35" x14ac:dyDescent="0.35">
      <c r="A265" t="s">
        <v>1053</v>
      </c>
      <c r="B265" t="s">
        <v>1054</v>
      </c>
      <c r="C265" t="s">
        <v>1055</v>
      </c>
      <c r="D265" s="1">
        <v>44994</v>
      </c>
      <c r="E265" s="1" t="str">
        <f t="shared" si="28"/>
        <v>09</v>
      </c>
      <c r="F265" s="1" t="str">
        <f t="shared" si="29"/>
        <v>Mar</v>
      </c>
      <c r="G265" s="6" t="s">
        <v>71</v>
      </c>
      <c r="H265" s="5">
        <v>8533.23</v>
      </c>
      <c r="I265" s="5" t="str">
        <f>IF(fin_table[[#This Row],[Account Balance]]&lt;20000,"Active", "Not Active")</f>
        <v>Active</v>
      </c>
      <c r="J265" s="5">
        <v>4093.87</v>
      </c>
      <c r="K265" s="5" t="str">
        <f t="shared" si="30"/>
        <v>Low</v>
      </c>
      <c r="L265" s="6" t="s">
        <v>100</v>
      </c>
      <c r="M265">
        <v>59</v>
      </c>
      <c r="N265" s="6" t="str">
        <f t="shared" si="31"/>
        <v>Older Adults</v>
      </c>
      <c r="O265" s="6" t="s">
        <v>25</v>
      </c>
      <c r="P265" s="6" t="s">
        <v>50</v>
      </c>
      <c r="Q265" t="s">
        <v>1056</v>
      </c>
      <c r="R265" s="6" t="s">
        <v>52</v>
      </c>
      <c r="S265" s="6" t="s">
        <v>29</v>
      </c>
      <c r="T265" s="14">
        <v>2.76E-2</v>
      </c>
      <c r="U265">
        <v>2.76</v>
      </c>
      <c r="V265" t="str">
        <f>IF(fin_table[[#This Row],[Interest Rate(%)]]&gt;4,"high","low")</f>
        <v>low</v>
      </c>
      <c r="W265" s="5">
        <v>19280.93</v>
      </c>
      <c r="X265" s="5">
        <f>fin_table[[#This Row],[Interest Rate]]*fin_table[[#This Row],[Loan Amount]]</f>
        <v>532.15366800000004</v>
      </c>
      <c r="Y265">
        <v>13</v>
      </c>
      <c r="Z265" s="3">
        <v>517</v>
      </c>
      <c r="AA265" s="3" t="str">
        <f t="shared" si="32"/>
        <v>Poor</v>
      </c>
      <c r="AB265" s="3" cm="1">
        <f t="array" ref="AB265">_xlfn.IFS(fin_table[[#This Row],[Transaction Status]]="Failed", 1, fin_table[[#This Row],[Transaction Status]]="Completed",0,fin_table[[#This Row],[Transaction Status]]="Pending",2)</f>
        <v>1</v>
      </c>
      <c r="AC265" s="3" t="str">
        <f>IF(fin_table[[#This Row],[Loan Defaulters]]=1,"Default", "Good")</f>
        <v>Default</v>
      </c>
      <c r="AD265" s="3">
        <f t="shared" si="33"/>
        <v>1</v>
      </c>
      <c r="AE265" s="4">
        <v>6137.6</v>
      </c>
      <c r="AF265" s="4" t="str">
        <f>IF(fin_table[[#This Row],[Monthly Income]]&lt;3000, "Low Income", IF(fin_table[[#This Row],[Monthly Income]]&lt;=5000, "Middle Income", "High Income"))</f>
        <v>High Income</v>
      </c>
      <c r="AG265" t="s">
        <v>63</v>
      </c>
      <c r="AH265" t="s">
        <v>3636</v>
      </c>
      <c r="AI265" t="str">
        <f t="shared" si="34"/>
        <v>Low-Risk</v>
      </c>
    </row>
    <row r="266" spans="1:35" x14ac:dyDescent="0.35">
      <c r="A266" t="s">
        <v>1057</v>
      </c>
      <c r="B266" t="s">
        <v>1058</v>
      </c>
      <c r="C266" t="s">
        <v>1059</v>
      </c>
      <c r="D266" s="1">
        <v>45093</v>
      </c>
      <c r="E266" s="1" t="str">
        <f t="shared" si="28"/>
        <v>16</v>
      </c>
      <c r="F266" s="1" t="str">
        <f t="shared" si="29"/>
        <v>Jun</v>
      </c>
      <c r="G266" s="6" t="s">
        <v>71</v>
      </c>
      <c r="H266" s="5">
        <v>4098.59</v>
      </c>
      <c r="I266" s="5" t="str">
        <f>IF(fin_table[[#This Row],[Account Balance]]&lt;20000,"Active", "Not Active")</f>
        <v>Not Active</v>
      </c>
      <c r="J266" s="5">
        <v>39062.730000000003</v>
      </c>
      <c r="K266" s="5" t="str">
        <f t="shared" si="30"/>
        <v>Medium</v>
      </c>
      <c r="L266" s="6" t="s">
        <v>49</v>
      </c>
      <c r="M266">
        <v>49</v>
      </c>
      <c r="N266" s="6" t="str">
        <f t="shared" si="31"/>
        <v>Older Adults</v>
      </c>
      <c r="O266" s="6" t="s">
        <v>42</v>
      </c>
      <c r="P266" s="6" t="s">
        <v>50</v>
      </c>
      <c r="Q266" t="s">
        <v>675</v>
      </c>
      <c r="R266" s="6" t="s">
        <v>52</v>
      </c>
      <c r="S266" s="6" t="s">
        <v>44</v>
      </c>
      <c r="T266" s="14">
        <v>4.9799999999999997E-2</v>
      </c>
      <c r="U266">
        <v>4.9800000000000004</v>
      </c>
      <c r="V266" t="str">
        <f>IF(fin_table[[#This Row],[Interest Rate(%)]]&gt;4,"high","low")</f>
        <v>high</v>
      </c>
      <c r="W266" s="5">
        <v>26681.654999999999</v>
      </c>
      <c r="X266" s="5">
        <f>fin_table[[#This Row],[Interest Rate]]*fin_table[[#This Row],[Loan Amount]]</f>
        <v>1328.7464189999998</v>
      </c>
      <c r="Y266">
        <v>13</v>
      </c>
      <c r="Z266" s="3">
        <v>726</v>
      </c>
      <c r="AA266" s="3" t="str">
        <f t="shared" si="32"/>
        <v>Good</v>
      </c>
      <c r="AB266" s="3" cm="1">
        <f t="array" ref="AB266">_xlfn.IFS(fin_table[[#This Row],[Transaction Status]]="Failed", 1, fin_table[[#This Row],[Transaction Status]]="Completed",0,fin_table[[#This Row],[Transaction Status]]="Pending",2)</f>
        <v>0</v>
      </c>
      <c r="AC266" s="3" t="str">
        <f>IF(fin_table[[#This Row],[Loan Defaulters]]=1,"Default", "Good")</f>
        <v>Good</v>
      </c>
      <c r="AD266" s="3">
        <f t="shared" si="33"/>
        <v>3</v>
      </c>
      <c r="AE266" s="4">
        <v>10074.73</v>
      </c>
      <c r="AF266" s="4" t="str">
        <f>IF(fin_table[[#This Row],[Monthly Income]]&lt;3000, "Low Income", IF(fin_table[[#This Row],[Monthly Income]]&lt;=5000, "Middle Income", "High Income"))</f>
        <v>High Income</v>
      </c>
      <c r="AG266" t="s">
        <v>45</v>
      </c>
      <c r="AH266" t="s">
        <v>3635</v>
      </c>
      <c r="AI266" t="str">
        <f t="shared" si="34"/>
        <v>Low-Risk</v>
      </c>
    </row>
    <row r="267" spans="1:35" x14ac:dyDescent="0.35">
      <c r="A267" t="s">
        <v>1060</v>
      </c>
      <c r="B267" t="s">
        <v>1061</v>
      </c>
      <c r="C267" t="s">
        <v>1062</v>
      </c>
      <c r="D267" s="1">
        <v>44571</v>
      </c>
      <c r="E267" s="1" t="str">
        <f t="shared" si="28"/>
        <v>10</v>
      </c>
      <c r="F267" s="1" t="str">
        <f t="shared" si="29"/>
        <v>Jan</v>
      </c>
      <c r="G267" s="6" t="s">
        <v>34</v>
      </c>
      <c r="H267" s="5">
        <v>868.38</v>
      </c>
      <c r="I267" s="5" t="str">
        <f>IF(fin_table[[#This Row],[Account Balance]]&lt;20000,"Active", "Not Active")</f>
        <v>Not Active</v>
      </c>
      <c r="J267" s="5">
        <v>41260.75</v>
      </c>
      <c r="K267" s="5" t="str">
        <f t="shared" si="30"/>
        <v>Medium</v>
      </c>
      <c r="L267" s="6" t="s">
        <v>35</v>
      </c>
      <c r="M267">
        <v>59</v>
      </c>
      <c r="N267" s="6" t="str">
        <f t="shared" si="31"/>
        <v>Older Adults</v>
      </c>
      <c r="O267" s="6" t="s">
        <v>42</v>
      </c>
      <c r="P267" s="6" t="s">
        <v>26</v>
      </c>
      <c r="Q267" t="s">
        <v>860</v>
      </c>
      <c r="R267" s="6" t="s">
        <v>52</v>
      </c>
      <c r="S267" s="6" t="s">
        <v>29</v>
      </c>
      <c r="T267" s="14">
        <v>2.6800000000000001E-2</v>
      </c>
      <c r="U267">
        <v>2.68</v>
      </c>
      <c r="V267" t="str">
        <f>IF(fin_table[[#This Row],[Interest Rate(%)]]&gt;4,"high","low")</f>
        <v>low</v>
      </c>
      <c r="W267" s="5">
        <v>26681.654999999999</v>
      </c>
      <c r="X267" s="5">
        <f>fin_table[[#This Row],[Interest Rate]]*fin_table[[#This Row],[Loan Amount]]</f>
        <v>715.068354</v>
      </c>
      <c r="Y267">
        <v>13</v>
      </c>
      <c r="Z267" s="3">
        <v>373</v>
      </c>
      <c r="AA267" s="3" t="str">
        <f t="shared" si="32"/>
        <v>Poor</v>
      </c>
      <c r="AB267" s="3" cm="1">
        <f t="array" ref="AB267">_xlfn.IFS(fin_table[[#This Row],[Transaction Status]]="Failed", 1, fin_table[[#This Row],[Transaction Status]]="Completed",0,fin_table[[#This Row],[Transaction Status]]="Pending",2)</f>
        <v>1</v>
      </c>
      <c r="AC267" s="3" t="str">
        <f>IF(fin_table[[#This Row],[Loan Defaulters]]=1,"Default", "Good")</f>
        <v>Default</v>
      </c>
      <c r="AD267" s="3">
        <f t="shared" si="33"/>
        <v>1</v>
      </c>
      <c r="AE267" s="4">
        <v>4135.43</v>
      </c>
      <c r="AF267" s="4" t="str">
        <f>IF(fin_table[[#This Row],[Monthly Income]]&lt;3000, "Low Income", IF(fin_table[[#This Row],[Monthly Income]]&lt;=5000, "Middle Income", "High Income"))</f>
        <v>Middle Income</v>
      </c>
      <c r="AG267" t="s">
        <v>63</v>
      </c>
      <c r="AH267" t="s">
        <v>3635</v>
      </c>
      <c r="AI267" t="str">
        <f t="shared" si="34"/>
        <v>Low-Risk</v>
      </c>
    </row>
    <row r="268" spans="1:35" x14ac:dyDescent="0.35">
      <c r="A268" t="s">
        <v>1063</v>
      </c>
      <c r="B268" t="s">
        <v>1064</v>
      </c>
      <c r="C268" t="s">
        <v>1065</v>
      </c>
      <c r="D268" s="1">
        <v>45112</v>
      </c>
      <c r="E268" s="1" t="str">
        <f t="shared" si="28"/>
        <v>05</v>
      </c>
      <c r="F268" s="1" t="str">
        <f t="shared" si="29"/>
        <v>Jul</v>
      </c>
      <c r="G268" s="6" t="s">
        <v>71</v>
      </c>
      <c r="H268" s="5">
        <v>5471.09</v>
      </c>
      <c r="I268" s="5" t="str">
        <f>IF(fin_table[[#This Row],[Account Balance]]&lt;20000,"Active", "Not Active")</f>
        <v>Not Active</v>
      </c>
      <c r="J268" s="5">
        <v>23614.62</v>
      </c>
      <c r="K268" s="5" t="str">
        <f t="shared" si="30"/>
        <v>Medium</v>
      </c>
      <c r="L268" s="6" t="s">
        <v>24</v>
      </c>
      <c r="M268">
        <v>43</v>
      </c>
      <c r="N268" s="6" t="str">
        <f t="shared" si="31"/>
        <v>Middle-Aged</v>
      </c>
      <c r="O268" s="6" t="s">
        <v>42</v>
      </c>
      <c r="P268" s="6" t="s">
        <v>26</v>
      </c>
      <c r="Q268" t="s">
        <v>1066</v>
      </c>
      <c r="R268" s="6" t="s">
        <v>52</v>
      </c>
      <c r="S268" s="6" t="s">
        <v>62</v>
      </c>
      <c r="T268" s="14">
        <v>3.4299999999999997E-2</v>
      </c>
      <c r="U268">
        <v>3.43</v>
      </c>
      <c r="V268" t="str">
        <f>IF(fin_table[[#This Row],[Interest Rate(%)]]&gt;4,"high","low")</f>
        <v>low</v>
      </c>
      <c r="W268" s="5">
        <v>39622.81</v>
      </c>
      <c r="X268" s="5">
        <f>fin_table[[#This Row],[Interest Rate]]*fin_table[[#This Row],[Loan Amount]]</f>
        <v>1359.0623829999997</v>
      </c>
      <c r="Y268">
        <v>28</v>
      </c>
      <c r="Z268" s="3">
        <v>759</v>
      </c>
      <c r="AA268" s="3" t="str">
        <f t="shared" si="32"/>
        <v>Very Good</v>
      </c>
      <c r="AB268" s="3" cm="1">
        <f t="array" ref="AB268">_xlfn.IFS(fin_table[[#This Row],[Transaction Status]]="Failed", 1, fin_table[[#This Row],[Transaction Status]]="Completed",0,fin_table[[#This Row],[Transaction Status]]="Pending",2)</f>
        <v>2</v>
      </c>
      <c r="AC268" s="3" t="str">
        <f>IF(fin_table[[#This Row],[Loan Defaulters]]=1,"Default", "Good")</f>
        <v>Good</v>
      </c>
      <c r="AD268" s="3">
        <f t="shared" si="33"/>
        <v>4</v>
      </c>
      <c r="AE268" s="4">
        <v>12997.76</v>
      </c>
      <c r="AF268" s="4" t="str">
        <f>IF(fin_table[[#This Row],[Monthly Income]]&lt;3000, "Low Income", IF(fin_table[[#This Row],[Monthly Income]]&lt;=5000, "Middle Income", "High Income"))</f>
        <v>High Income</v>
      </c>
      <c r="AG268" t="s">
        <v>63</v>
      </c>
      <c r="AH268" t="s">
        <v>3636</v>
      </c>
      <c r="AI268" t="str">
        <f t="shared" si="34"/>
        <v>Low-Risk</v>
      </c>
    </row>
    <row r="269" spans="1:35" x14ac:dyDescent="0.35">
      <c r="A269" t="s">
        <v>1067</v>
      </c>
      <c r="B269" t="s">
        <v>1068</v>
      </c>
      <c r="C269" t="s">
        <v>1069</v>
      </c>
      <c r="D269" s="1">
        <v>45046</v>
      </c>
      <c r="E269" s="1" t="str">
        <f t="shared" si="28"/>
        <v>30</v>
      </c>
      <c r="F269" s="1" t="str">
        <f t="shared" si="29"/>
        <v>Apr</v>
      </c>
      <c r="G269" s="6" t="s">
        <v>34</v>
      </c>
      <c r="H269" s="5">
        <v>8631.25</v>
      </c>
      <c r="I269" s="5" t="str">
        <f>IF(fin_table[[#This Row],[Account Balance]]&lt;20000,"Active", "Not Active")</f>
        <v>Not Active</v>
      </c>
      <c r="J269" s="5">
        <v>49181.98</v>
      </c>
      <c r="K269" s="5" t="str">
        <f t="shared" si="30"/>
        <v>Medium</v>
      </c>
      <c r="L269" s="6" t="s">
        <v>125</v>
      </c>
      <c r="M269">
        <v>42</v>
      </c>
      <c r="N269" s="6" t="str">
        <f t="shared" si="31"/>
        <v>Middle-Aged</v>
      </c>
      <c r="O269" s="6" t="s">
        <v>25</v>
      </c>
      <c r="P269" s="6" t="s">
        <v>36</v>
      </c>
      <c r="Q269" t="s">
        <v>1070</v>
      </c>
      <c r="R269" s="6" t="s">
        <v>28</v>
      </c>
      <c r="S269" s="6" t="s">
        <v>44</v>
      </c>
      <c r="T269" s="14">
        <v>1.4200000000000001E-2</v>
      </c>
      <c r="U269">
        <v>1.42</v>
      </c>
      <c r="V269" t="str">
        <f>IF(fin_table[[#This Row],[Interest Rate(%)]]&gt;4,"high","low")</f>
        <v>low</v>
      </c>
      <c r="W269" s="5">
        <v>26681.654999999999</v>
      </c>
      <c r="X269" s="5">
        <f>fin_table[[#This Row],[Interest Rate]]*fin_table[[#This Row],[Loan Amount]]</f>
        <v>378.879501</v>
      </c>
      <c r="Y269">
        <v>13</v>
      </c>
      <c r="Z269" s="3">
        <v>724</v>
      </c>
      <c r="AA269" s="3" t="str">
        <f t="shared" si="32"/>
        <v>Good</v>
      </c>
      <c r="AB269" s="3" cm="1">
        <f t="array" ref="AB269">_xlfn.IFS(fin_table[[#This Row],[Transaction Status]]="Failed", 1, fin_table[[#This Row],[Transaction Status]]="Completed",0,fin_table[[#This Row],[Transaction Status]]="Pending",2)</f>
        <v>0</v>
      </c>
      <c r="AC269" s="3" t="str">
        <f>IF(fin_table[[#This Row],[Loan Defaulters]]=1,"Default", "Good")</f>
        <v>Good</v>
      </c>
      <c r="AD269" s="3">
        <f t="shared" si="33"/>
        <v>3</v>
      </c>
      <c r="AE269" s="4">
        <v>12561.23</v>
      </c>
      <c r="AF269" s="4" t="str">
        <f>IF(fin_table[[#This Row],[Monthly Income]]&lt;3000, "Low Income", IF(fin_table[[#This Row],[Monthly Income]]&lt;=5000, "Middle Income", "High Income"))</f>
        <v>High Income</v>
      </c>
      <c r="AG269" t="s">
        <v>45</v>
      </c>
      <c r="AH269" t="s">
        <v>3635</v>
      </c>
      <c r="AI269" t="str">
        <f t="shared" si="34"/>
        <v>Low-Risk</v>
      </c>
    </row>
    <row r="270" spans="1:35" x14ac:dyDescent="0.35">
      <c r="A270" t="s">
        <v>1071</v>
      </c>
      <c r="B270" t="s">
        <v>1072</v>
      </c>
      <c r="C270" t="s">
        <v>1073</v>
      </c>
      <c r="D270" s="1">
        <v>44858</v>
      </c>
      <c r="E270" s="1" t="str">
        <f t="shared" si="28"/>
        <v>24</v>
      </c>
      <c r="F270" s="1" t="str">
        <f t="shared" si="29"/>
        <v>Oct</v>
      </c>
      <c r="G270" s="6" t="s">
        <v>56</v>
      </c>
      <c r="H270" s="5">
        <v>5943.83</v>
      </c>
      <c r="I270" s="5" t="str">
        <f>IF(fin_table[[#This Row],[Account Balance]]&lt;20000,"Active", "Not Active")</f>
        <v>Not Active</v>
      </c>
      <c r="J270" s="5">
        <v>39548.71</v>
      </c>
      <c r="K270" s="5" t="str">
        <f t="shared" si="30"/>
        <v>Medium</v>
      </c>
      <c r="L270" s="6" t="s">
        <v>100</v>
      </c>
      <c r="M270">
        <v>28</v>
      </c>
      <c r="N270" s="6" t="str">
        <f t="shared" si="31"/>
        <v>Adults</v>
      </c>
      <c r="O270" s="6" t="s">
        <v>25</v>
      </c>
      <c r="P270" s="6" t="s">
        <v>36</v>
      </c>
      <c r="Q270" t="s">
        <v>1074</v>
      </c>
      <c r="R270" s="6" t="s">
        <v>28</v>
      </c>
      <c r="S270" s="6" t="s">
        <v>62</v>
      </c>
      <c r="T270" s="14">
        <v>2.8199999999999999E-2</v>
      </c>
      <c r="U270">
        <v>2.82</v>
      </c>
      <c r="V270" t="str">
        <f>IF(fin_table[[#This Row],[Interest Rate(%)]]&gt;4,"high","low")</f>
        <v>low</v>
      </c>
      <c r="W270" s="5">
        <v>26681.654999999999</v>
      </c>
      <c r="X270" s="5">
        <f>fin_table[[#This Row],[Interest Rate]]*fin_table[[#This Row],[Loan Amount]]</f>
        <v>752.42267099999992</v>
      </c>
      <c r="Y270">
        <v>13</v>
      </c>
      <c r="Z270" s="3">
        <v>491</v>
      </c>
      <c r="AA270" s="3" t="str">
        <f t="shared" si="32"/>
        <v>Poor</v>
      </c>
      <c r="AB270" s="3" cm="1">
        <f t="array" ref="AB270">_xlfn.IFS(fin_table[[#This Row],[Transaction Status]]="Failed", 1, fin_table[[#This Row],[Transaction Status]]="Completed",0,fin_table[[#This Row],[Transaction Status]]="Pending",2)</f>
        <v>2</v>
      </c>
      <c r="AC270" s="3" t="str">
        <f>IF(fin_table[[#This Row],[Loan Defaulters]]=1,"Default", "Good")</f>
        <v>Good</v>
      </c>
      <c r="AD270" s="3">
        <f t="shared" si="33"/>
        <v>1</v>
      </c>
      <c r="AE270" s="4">
        <v>8194.2800000000007</v>
      </c>
      <c r="AF270" s="4" t="str">
        <f>IF(fin_table[[#This Row],[Monthly Income]]&lt;3000, "Low Income", IF(fin_table[[#This Row],[Monthly Income]]&lt;=5000, "Middle Income", "High Income"))</f>
        <v>High Income</v>
      </c>
      <c r="AG270" t="s">
        <v>30</v>
      </c>
      <c r="AH270" t="s">
        <v>3635</v>
      </c>
      <c r="AI270" t="str">
        <f t="shared" si="34"/>
        <v>Low-Risk</v>
      </c>
    </row>
    <row r="271" spans="1:35" x14ac:dyDescent="0.35">
      <c r="A271" t="s">
        <v>1075</v>
      </c>
      <c r="B271" t="s">
        <v>1076</v>
      </c>
      <c r="C271" t="s">
        <v>1077</v>
      </c>
      <c r="D271" s="1">
        <v>44845</v>
      </c>
      <c r="E271" s="1" t="str">
        <f t="shared" si="28"/>
        <v>11</v>
      </c>
      <c r="F271" s="1" t="str">
        <f t="shared" si="29"/>
        <v>Oct</v>
      </c>
      <c r="G271" s="6" t="s">
        <v>34</v>
      </c>
      <c r="H271" s="5">
        <v>2340.16</v>
      </c>
      <c r="I271" s="5" t="str">
        <f>IF(fin_table[[#This Row],[Account Balance]]&lt;20000,"Active", "Not Active")</f>
        <v>Not Active</v>
      </c>
      <c r="J271" s="5">
        <v>38909.47</v>
      </c>
      <c r="K271" s="5" t="str">
        <f t="shared" si="30"/>
        <v>Medium</v>
      </c>
      <c r="L271" s="6" t="s">
        <v>35</v>
      </c>
      <c r="M271">
        <v>40</v>
      </c>
      <c r="N271" s="6" t="str">
        <f t="shared" si="31"/>
        <v>Middle-Aged</v>
      </c>
      <c r="O271" s="6" t="s">
        <v>25</v>
      </c>
      <c r="P271" s="6" t="s">
        <v>36</v>
      </c>
      <c r="Q271" t="s">
        <v>1078</v>
      </c>
      <c r="R271" s="6" t="s">
        <v>52</v>
      </c>
      <c r="S271" s="6" t="s">
        <v>29</v>
      </c>
      <c r="T271" s="14">
        <v>1.9599999999999999E-2</v>
      </c>
      <c r="U271">
        <v>1.96</v>
      </c>
      <c r="V271" t="str">
        <f>IF(fin_table[[#This Row],[Interest Rate(%)]]&gt;4,"high","low")</f>
        <v>low</v>
      </c>
      <c r="W271" s="5">
        <v>26681.654999999999</v>
      </c>
      <c r="X271" s="5">
        <f>fin_table[[#This Row],[Interest Rate]]*fin_table[[#This Row],[Loan Amount]]</f>
        <v>522.96043799999995</v>
      </c>
      <c r="Y271">
        <v>1</v>
      </c>
      <c r="Z271" s="3">
        <v>488</v>
      </c>
      <c r="AA271" s="3" t="str">
        <f t="shared" si="32"/>
        <v>Poor</v>
      </c>
      <c r="AB271" s="3" cm="1">
        <f t="array" ref="AB271">_xlfn.IFS(fin_table[[#This Row],[Transaction Status]]="Failed", 1, fin_table[[#This Row],[Transaction Status]]="Completed",0,fin_table[[#This Row],[Transaction Status]]="Pending",2)</f>
        <v>1</v>
      </c>
      <c r="AC271" s="3" t="str">
        <f>IF(fin_table[[#This Row],[Loan Defaulters]]=1,"Default", "Good")</f>
        <v>Default</v>
      </c>
      <c r="AD271" s="3">
        <f t="shared" si="33"/>
        <v>1</v>
      </c>
      <c r="AE271" s="4">
        <v>13085.49</v>
      </c>
      <c r="AF271" s="4" t="str">
        <f>IF(fin_table[[#This Row],[Monthly Income]]&lt;3000, "Low Income", IF(fin_table[[#This Row],[Monthly Income]]&lt;=5000, "Middle Income", "High Income"))</f>
        <v>High Income</v>
      </c>
      <c r="AG271" t="s">
        <v>45</v>
      </c>
      <c r="AH271" t="s">
        <v>3635</v>
      </c>
      <c r="AI271" t="str">
        <f t="shared" si="34"/>
        <v>Low-Risk</v>
      </c>
    </row>
    <row r="272" spans="1:35" x14ac:dyDescent="0.35">
      <c r="A272" t="s">
        <v>1079</v>
      </c>
      <c r="B272" t="s">
        <v>1080</v>
      </c>
      <c r="C272" t="s">
        <v>1081</v>
      </c>
      <c r="D272" s="1">
        <v>44825</v>
      </c>
      <c r="E272" s="1" t="str">
        <f t="shared" si="28"/>
        <v>21</v>
      </c>
      <c r="F272" s="1" t="str">
        <f t="shared" si="29"/>
        <v>Sep</v>
      </c>
      <c r="G272" s="6" t="s">
        <v>34</v>
      </c>
      <c r="H272" s="5">
        <v>3903.97</v>
      </c>
      <c r="I272" s="5" t="str">
        <f>IF(fin_table[[#This Row],[Account Balance]]&lt;20000,"Active", "Not Active")</f>
        <v>Not Active</v>
      </c>
      <c r="J272" s="5">
        <v>37644.089999999997</v>
      </c>
      <c r="K272" s="5" t="str">
        <f t="shared" si="30"/>
        <v>Medium</v>
      </c>
      <c r="L272" s="6" t="s">
        <v>24</v>
      </c>
      <c r="M272">
        <v>51</v>
      </c>
      <c r="N272" s="6" t="str">
        <f t="shared" si="31"/>
        <v>Older Adults</v>
      </c>
      <c r="O272" s="6" t="s">
        <v>25</v>
      </c>
      <c r="P272" s="6" t="s">
        <v>26</v>
      </c>
      <c r="Q272" t="s">
        <v>1082</v>
      </c>
      <c r="R272" s="6" t="s">
        <v>28</v>
      </c>
      <c r="S272" s="6" t="s">
        <v>44</v>
      </c>
      <c r="T272" s="14">
        <v>4.3400000000000001E-2</v>
      </c>
      <c r="U272">
        <v>4.34</v>
      </c>
      <c r="V272" t="str">
        <f>IF(fin_table[[#This Row],[Interest Rate(%)]]&gt;4,"high","low")</f>
        <v>high</v>
      </c>
      <c r="W272" s="5">
        <v>26681.654999999999</v>
      </c>
      <c r="X272" s="5">
        <f>fin_table[[#This Row],[Interest Rate]]*fin_table[[#This Row],[Loan Amount]]</f>
        <v>1157.983827</v>
      </c>
      <c r="Y272">
        <v>13</v>
      </c>
      <c r="Z272" s="3">
        <v>311</v>
      </c>
      <c r="AA272" s="3" t="str">
        <f t="shared" si="32"/>
        <v>Poor</v>
      </c>
      <c r="AB272" s="3" cm="1">
        <f t="array" ref="AB272">_xlfn.IFS(fin_table[[#This Row],[Transaction Status]]="Failed", 1, fin_table[[#This Row],[Transaction Status]]="Completed",0,fin_table[[#This Row],[Transaction Status]]="Pending",2)</f>
        <v>0</v>
      </c>
      <c r="AC272" s="3" t="str">
        <f>IF(fin_table[[#This Row],[Loan Defaulters]]=1,"Default", "Good")</f>
        <v>Good</v>
      </c>
      <c r="AD272" s="3">
        <f t="shared" si="33"/>
        <v>1</v>
      </c>
      <c r="AE272" s="4">
        <v>5212.8900000000003</v>
      </c>
      <c r="AF272" s="4" t="str">
        <f>IF(fin_table[[#This Row],[Monthly Income]]&lt;3000, "Low Income", IF(fin_table[[#This Row],[Monthly Income]]&lt;=5000, "Middle Income", "High Income"))</f>
        <v>High Income</v>
      </c>
      <c r="AG272" t="s">
        <v>45</v>
      </c>
      <c r="AH272" t="s">
        <v>3635</v>
      </c>
      <c r="AI272" t="str">
        <f t="shared" si="34"/>
        <v>Low-Risk</v>
      </c>
    </row>
    <row r="273" spans="1:35" x14ac:dyDescent="0.35">
      <c r="A273" t="s">
        <v>1083</v>
      </c>
      <c r="B273" t="s">
        <v>1084</v>
      </c>
      <c r="C273" t="s">
        <v>1085</v>
      </c>
      <c r="D273" s="1">
        <v>45051</v>
      </c>
      <c r="E273" s="1" t="str">
        <f t="shared" si="28"/>
        <v>05</v>
      </c>
      <c r="F273" s="1" t="str">
        <f t="shared" si="29"/>
        <v>May</v>
      </c>
      <c r="G273" s="6" t="s">
        <v>56</v>
      </c>
      <c r="H273" s="5">
        <v>4556.22</v>
      </c>
      <c r="I273" s="5" t="str">
        <f>IF(fin_table[[#This Row],[Account Balance]]&lt;20000,"Active", "Not Active")</f>
        <v>Active</v>
      </c>
      <c r="J273" s="5">
        <v>8379.7999999999993</v>
      </c>
      <c r="K273" s="5" t="str">
        <f t="shared" si="30"/>
        <v>Low</v>
      </c>
      <c r="L273" s="6" t="s">
        <v>35</v>
      </c>
      <c r="M273">
        <v>69</v>
      </c>
      <c r="N273" s="6" t="str">
        <f t="shared" si="31"/>
        <v>Seniors</v>
      </c>
      <c r="O273" s="6" t="s">
        <v>25</v>
      </c>
      <c r="P273" s="6" t="s">
        <v>50</v>
      </c>
      <c r="Q273" t="s">
        <v>538</v>
      </c>
      <c r="R273" s="6" t="s">
        <v>28</v>
      </c>
      <c r="S273" s="6" t="s">
        <v>29</v>
      </c>
      <c r="T273" s="14">
        <v>4.1399999999999999E-2</v>
      </c>
      <c r="U273">
        <v>4.1399999999999997</v>
      </c>
      <c r="V273" t="str">
        <f>IF(fin_table[[#This Row],[Interest Rate(%)]]&gt;4,"high","low")</f>
        <v>high</v>
      </c>
      <c r="W273" s="5">
        <v>39985.050000000003</v>
      </c>
      <c r="X273" s="5">
        <f>fin_table[[#This Row],[Interest Rate]]*fin_table[[#This Row],[Loan Amount]]</f>
        <v>1655.3810700000001</v>
      </c>
      <c r="Y273">
        <v>19</v>
      </c>
      <c r="Z273" s="3">
        <v>538</v>
      </c>
      <c r="AA273" s="3" t="str">
        <f t="shared" si="32"/>
        <v>Poor</v>
      </c>
      <c r="AB273" s="3" cm="1">
        <f t="array" ref="AB273">_xlfn.IFS(fin_table[[#This Row],[Transaction Status]]="Failed", 1, fin_table[[#This Row],[Transaction Status]]="Completed",0,fin_table[[#This Row],[Transaction Status]]="Pending",2)</f>
        <v>1</v>
      </c>
      <c r="AC273" s="3" t="str">
        <f>IF(fin_table[[#This Row],[Loan Defaulters]]=1,"Default", "Good")</f>
        <v>Default</v>
      </c>
      <c r="AD273" s="3">
        <f t="shared" si="33"/>
        <v>1</v>
      </c>
      <c r="AE273" s="4">
        <v>2228.35</v>
      </c>
      <c r="AF273" s="4" t="str">
        <f>IF(fin_table[[#This Row],[Monthly Income]]&lt;3000, "Low Income", IF(fin_table[[#This Row],[Monthly Income]]&lt;=5000, "Middle Income", "High Income"))</f>
        <v>Low Income</v>
      </c>
      <c r="AG273" t="s">
        <v>45</v>
      </c>
      <c r="AH273" t="s">
        <v>3636</v>
      </c>
      <c r="AI273" t="str">
        <f t="shared" si="34"/>
        <v>High-Risk</v>
      </c>
    </row>
    <row r="274" spans="1:35" x14ac:dyDescent="0.35">
      <c r="A274" t="s">
        <v>1086</v>
      </c>
      <c r="B274" t="s">
        <v>1087</v>
      </c>
      <c r="C274" t="s">
        <v>1088</v>
      </c>
      <c r="D274" s="1">
        <v>44591</v>
      </c>
      <c r="E274" s="1" t="str">
        <f t="shared" si="28"/>
        <v>30</v>
      </c>
      <c r="F274" s="1" t="str">
        <f t="shared" si="29"/>
        <v>Jan</v>
      </c>
      <c r="G274" s="6" t="s">
        <v>71</v>
      </c>
      <c r="H274" s="5">
        <v>5834.74</v>
      </c>
      <c r="I274" s="5" t="str">
        <f>IF(fin_table[[#This Row],[Account Balance]]&lt;20000,"Active", "Not Active")</f>
        <v>Active</v>
      </c>
      <c r="J274" s="5">
        <v>11644.31</v>
      </c>
      <c r="K274" s="5" t="str">
        <f t="shared" si="30"/>
        <v>Medium</v>
      </c>
      <c r="L274" s="6" t="s">
        <v>100</v>
      </c>
      <c r="M274">
        <v>57</v>
      </c>
      <c r="N274" s="6" t="str">
        <f t="shared" si="31"/>
        <v>Older Adults</v>
      </c>
      <c r="O274" s="6" t="s">
        <v>25</v>
      </c>
      <c r="P274" s="6" t="s">
        <v>50</v>
      </c>
      <c r="Q274" t="s">
        <v>1089</v>
      </c>
      <c r="R274" s="6" t="s">
        <v>38</v>
      </c>
      <c r="S274" s="6" t="s">
        <v>62</v>
      </c>
      <c r="T274" s="14">
        <v>4.2999999999999997E-2</v>
      </c>
      <c r="U274">
        <v>4.2999999999999997E-2</v>
      </c>
      <c r="V274" t="str">
        <f>IF(fin_table[[#This Row],[Interest Rate(%)]]&gt;4,"high","low")</f>
        <v>low</v>
      </c>
      <c r="W274" s="5">
        <v>26681.654999999999</v>
      </c>
      <c r="X274" s="5">
        <f>fin_table[[#This Row],[Interest Rate]]*fin_table[[#This Row],[Loan Amount]]</f>
        <v>1147.3111649999998</v>
      </c>
      <c r="Y274">
        <v>13</v>
      </c>
      <c r="Z274" s="3">
        <v>752</v>
      </c>
      <c r="AA274" s="3" t="str">
        <f t="shared" si="32"/>
        <v>Very Good</v>
      </c>
      <c r="AB274" s="3" cm="1">
        <f t="array" ref="AB274">_xlfn.IFS(fin_table[[#This Row],[Transaction Status]]="Failed", 1, fin_table[[#This Row],[Transaction Status]]="Completed",0,fin_table[[#This Row],[Transaction Status]]="Pending",2)</f>
        <v>2</v>
      </c>
      <c r="AC274" s="3" t="str">
        <f>IF(fin_table[[#This Row],[Loan Defaulters]]=1,"Default", "Good")</f>
        <v>Good</v>
      </c>
      <c r="AD274" s="3">
        <f t="shared" si="33"/>
        <v>4</v>
      </c>
      <c r="AE274" s="4">
        <v>10049.700000000001</v>
      </c>
      <c r="AF274" s="4" t="str">
        <f>IF(fin_table[[#This Row],[Monthly Income]]&lt;3000, "Low Income", IF(fin_table[[#This Row],[Monthly Income]]&lt;=5000, "Middle Income", "High Income"))</f>
        <v>High Income</v>
      </c>
      <c r="AG274" t="s">
        <v>30</v>
      </c>
      <c r="AH274" t="s">
        <v>3635</v>
      </c>
      <c r="AI274" t="str">
        <f t="shared" si="34"/>
        <v>Low-Risk</v>
      </c>
    </row>
    <row r="275" spans="1:35" x14ac:dyDescent="0.35">
      <c r="A275" t="s">
        <v>1090</v>
      </c>
      <c r="B275" t="s">
        <v>1091</v>
      </c>
      <c r="C275" t="s">
        <v>1092</v>
      </c>
      <c r="D275" s="1">
        <v>45055</v>
      </c>
      <c r="E275" s="1" t="str">
        <f t="shared" si="28"/>
        <v>09</v>
      </c>
      <c r="F275" s="1" t="str">
        <f t="shared" si="29"/>
        <v>May</v>
      </c>
      <c r="G275" s="6" t="s">
        <v>34</v>
      </c>
      <c r="H275" s="5">
        <v>7617.58</v>
      </c>
      <c r="I275" s="5" t="str">
        <f>IF(fin_table[[#This Row],[Account Balance]]&lt;20000,"Active", "Not Active")</f>
        <v>Not Active</v>
      </c>
      <c r="J275" s="5">
        <v>23735.52</v>
      </c>
      <c r="K275" s="5" t="str">
        <f t="shared" si="30"/>
        <v>Medium</v>
      </c>
      <c r="L275" s="6" t="s">
        <v>125</v>
      </c>
      <c r="M275">
        <v>40</v>
      </c>
      <c r="N275" s="6" t="str">
        <f t="shared" si="31"/>
        <v>Middle-Aged</v>
      </c>
      <c r="O275" s="6" t="s">
        <v>42</v>
      </c>
      <c r="P275" s="6" t="s">
        <v>26</v>
      </c>
      <c r="Q275" t="s">
        <v>1093</v>
      </c>
      <c r="R275" s="6" t="s">
        <v>52</v>
      </c>
      <c r="S275" s="6" t="s">
        <v>62</v>
      </c>
      <c r="T275" s="14">
        <v>3.8899999999999997E-2</v>
      </c>
      <c r="U275">
        <v>3.89</v>
      </c>
      <c r="V275" t="str">
        <f>IF(fin_table[[#This Row],[Interest Rate(%)]]&gt;4,"high","low")</f>
        <v>low</v>
      </c>
      <c r="W275" s="5">
        <v>26681.654999999999</v>
      </c>
      <c r="X275" s="5">
        <f>fin_table[[#This Row],[Interest Rate]]*fin_table[[#This Row],[Loan Amount]]</f>
        <v>1037.9163794999999</v>
      </c>
      <c r="Y275">
        <v>1</v>
      </c>
      <c r="Z275" s="3">
        <v>682</v>
      </c>
      <c r="AA275" s="3" t="str">
        <f t="shared" si="32"/>
        <v>Good</v>
      </c>
      <c r="AB275" s="3" cm="1">
        <f t="array" ref="AB275">_xlfn.IFS(fin_table[[#This Row],[Transaction Status]]="Failed", 1, fin_table[[#This Row],[Transaction Status]]="Completed",0,fin_table[[#This Row],[Transaction Status]]="Pending",2)</f>
        <v>2</v>
      </c>
      <c r="AC275" s="3" t="str">
        <f>IF(fin_table[[#This Row],[Loan Defaulters]]=1,"Default", "Good")</f>
        <v>Good</v>
      </c>
      <c r="AD275" s="3">
        <f t="shared" si="33"/>
        <v>3</v>
      </c>
      <c r="AE275" s="4">
        <v>7952.82</v>
      </c>
      <c r="AF275" s="4" t="str">
        <f>IF(fin_table[[#This Row],[Monthly Income]]&lt;3000, "Low Income", IF(fin_table[[#This Row],[Monthly Income]]&lt;=5000, "Middle Income", "High Income"))</f>
        <v>High Income</v>
      </c>
      <c r="AG275" t="s">
        <v>63</v>
      </c>
      <c r="AH275" t="s">
        <v>3635</v>
      </c>
      <c r="AI275" t="str">
        <f t="shared" si="34"/>
        <v>Low-Risk</v>
      </c>
    </row>
    <row r="276" spans="1:35" x14ac:dyDescent="0.35">
      <c r="A276" t="s">
        <v>1094</v>
      </c>
      <c r="B276" t="s">
        <v>1095</v>
      </c>
      <c r="C276" t="s">
        <v>1096</v>
      </c>
      <c r="D276" s="1">
        <v>44993</v>
      </c>
      <c r="E276" s="1" t="str">
        <f t="shared" si="28"/>
        <v>08</v>
      </c>
      <c r="F276" s="1" t="str">
        <f t="shared" si="29"/>
        <v>Mar</v>
      </c>
      <c r="G276" s="6" t="s">
        <v>34</v>
      </c>
      <c r="H276" s="5">
        <v>1078.8499999999999</v>
      </c>
      <c r="I276" s="5" t="str">
        <f>IF(fin_table[[#This Row],[Account Balance]]&lt;20000,"Active", "Not Active")</f>
        <v>Active</v>
      </c>
      <c r="J276" s="5">
        <v>13936.21</v>
      </c>
      <c r="K276" s="5" t="str">
        <f t="shared" si="30"/>
        <v>Medium</v>
      </c>
      <c r="L276" s="6" t="s">
        <v>35</v>
      </c>
      <c r="M276">
        <v>46</v>
      </c>
      <c r="N276" s="6" t="str">
        <f t="shared" si="31"/>
        <v>Older Adults</v>
      </c>
      <c r="O276" s="6" t="s">
        <v>25</v>
      </c>
      <c r="P276" s="6" t="s">
        <v>36</v>
      </c>
      <c r="Q276" t="s">
        <v>1097</v>
      </c>
      <c r="R276" s="6" t="s">
        <v>28</v>
      </c>
      <c r="S276" s="6" t="s">
        <v>62</v>
      </c>
      <c r="T276" s="14">
        <v>4.3299999999999998E-2</v>
      </c>
      <c r="U276">
        <v>4.33</v>
      </c>
      <c r="V276" t="str">
        <f>IF(fin_table[[#This Row],[Interest Rate(%)]]&gt;4,"high","low")</f>
        <v>high</v>
      </c>
      <c r="W276" s="5">
        <v>26681.654999999999</v>
      </c>
      <c r="X276" s="5">
        <f>fin_table[[#This Row],[Interest Rate]]*fin_table[[#This Row],[Loan Amount]]</f>
        <v>1155.3156614999998</v>
      </c>
      <c r="Y276">
        <v>8</v>
      </c>
      <c r="Z276" s="3">
        <v>347</v>
      </c>
      <c r="AA276" s="3" t="str">
        <f t="shared" si="32"/>
        <v>Poor</v>
      </c>
      <c r="AB276" s="3" cm="1">
        <f t="array" ref="AB276">_xlfn.IFS(fin_table[[#This Row],[Transaction Status]]="Failed", 1, fin_table[[#This Row],[Transaction Status]]="Completed",0,fin_table[[#This Row],[Transaction Status]]="Pending",2)</f>
        <v>2</v>
      </c>
      <c r="AC276" s="3" t="str">
        <f>IF(fin_table[[#This Row],[Loan Defaulters]]=1,"Default", "Good")</f>
        <v>Good</v>
      </c>
      <c r="AD276" s="3">
        <f t="shared" si="33"/>
        <v>1</v>
      </c>
      <c r="AE276" s="4">
        <v>9373.14</v>
      </c>
      <c r="AF276" s="4" t="str">
        <f>IF(fin_table[[#This Row],[Monthly Income]]&lt;3000, "Low Income", IF(fin_table[[#This Row],[Monthly Income]]&lt;=5000, "Middle Income", "High Income"))</f>
        <v>High Income</v>
      </c>
      <c r="AG276" t="s">
        <v>63</v>
      </c>
      <c r="AH276" t="s">
        <v>3635</v>
      </c>
      <c r="AI276" t="str">
        <f t="shared" si="34"/>
        <v>Low-Risk</v>
      </c>
    </row>
    <row r="277" spans="1:35" x14ac:dyDescent="0.35">
      <c r="A277" t="s">
        <v>1098</v>
      </c>
      <c r="B277" t="s">
        <v>1099</v>
      </c>
      <c r="C277" t="s">
        <v>1100</v>
      </c>
      <c r="D277" s="1">
        <v>44647</v>
      </c>
      <c r="E277" s="1" t="str">
        <f t="shared" si="28"/>
        <v>27</v>
      </c>
      <c r="F277" s="1" t="str">
        <f t="shared" si="29"/>
        <v>Mar</v>
      </c>
      <c r="G277" s="6" t="s">
        <v>56</v>
      </c>
      <c r="H277" s="5">
        <v>8907.56</v>
      </c>
      <c r="I277" s="5" t="str">
        <f>IF(fin_table[[#This Row],[Account Balance]]&lt;20000,"Active", "Not Active")</f>
        <v>Not Active</v>
      </c>
      <c r="J277" s="5">
        <v>21346.81</v>
      </c>
      <c r="K277" s="5" t="str">
        <f t="shared" si="30"/>
        <v>Medium</v>
      </c>
      <c r="L277" s="6" t="s">
        <v>49</v>
      </c>
      <c r="M277">
        <v>48</v>
      </c>
      <c r="N277" s="6" t="str">
        <f t="shared" si="31"/>
        <v>Older Adults</v>
      </c>
      <c r="O277" s="6" t="s">
        <v>42</v>
      </c>
      <c r="P277" s="6" t="s">
        <v>36</v>
      </c>
      <c r="Q277" t="s">
        <v>497</v>
      </c>
      <c r="R277" s="6" t="s">
        <v>38</v>
      </c>
      <c r="S277" s="6" t="s">
        <v>44</v>
      </c>
      <c r="T277" s="14">
        <v>1.7999999999999999E-2</v>
      </c>
      <c r="U277">
        <v>1.7999999999999999E-2</v>
      </c>
      <c r="V277" t="str">
        <f>IF(fin_table[[#This Row],[Interest Rate(%)]]&gt;4,"high","low")</f>
        <v>low</v>
      </c>
      <c r="W277" s="5">
        <v>26681.654999999999</v>
      </c>
      <c r="X277" s="5">
        <f>fin_table[[#This Row],[Interest Rate]]*fin_table[[#This Row],[Loan Amount]]</f>
        <v>480.26978999999994</v>
      </c>
      <c r="Y277">
        <v>17</v>
      </c>
      <c r="Z277" s="3">
        <v>616</v>
      </c>
      <c r="AA277" s="3" t="str">
        <f t="shared" si="32"/>
        <v>Fair</v>
      </c>
      <c r="AB277" s="3" cm="1">
        <f t="array" ref="AB277">_xlfn.IFS(fin_table[[#This Row],[Transaction Status]]="Failed", 1, fin_table[[#This Row],[Transaction Status]]="Completed",0,fin_table[[#This Row],[Transaction Status]]="Pending",2)</f>
        <v>0</v>
      </c>
      <c r="AC277" s="3" t="str">
        <f>IF(fin_table[[#This Row],[Loan Defaulters]]=1,"Default", "Good")</f>
        <v>Good</v>
      </c>
      <c r="AD277" s="3">
        <f t="shared" si="33"/>
        <v>2</v>
      </c>
      <c r="AE277" s="4">
        <v>13691.41</v>
      </c>
      <c r="AF277" s="4" t="str">
        <f>IF(fin_table[[#This Row],[Monthly Income]]&lt;3000, "Low Income", IF(fin_table[[#This Row],[Monthly Income]]&lt;=5000, "Middle Income", "High Income"))</f>
        <v>High Income</v>
      </c>
      <c r="AG277" t="s">
        <v>45</v>
      </c>
      <c r="AH277" t="s">
        <v>3635</v>
      </c>
      <c r="AI277" t="str">
        <f t="shared" si="34"/>
        <v>Low-Risk</v>
      </c>
    </row>
    <row r="278" spans="1:35" x14ac:dyDescent="0.35">
      <c r="A278" t="s">
        <v>1101</v>
      </c>
      <c r="B278" t="s">
        <v>749</v>
      </c>
      <c r="C278" t="s">
        <v>1102</v>
      </c>
      <c r="D278" s="1">
        <v>44912</v>
      </c>
      <c r="E278" s="1" t="str">
        <f t="shared" si="28"/>
        <v>17</v>
      </c>
      <c r="F278" s="1" t="str">
        <f t="shared" si="29"/>
        <v>Dec</v>
      </c>
      <c r="G278" s="6" t="s">
        <v>71</v>
      </c>
      <c r="H278" s="5">
        <v>221.87</v>
      </c>
      <c r="I278" s="5" t="str">
        <f>IF(fin_table[[#This Row],[Account Balance]]&lt;20000,"Active", "Not Active")</f>
        <v>Not Active</v>
      </c>
      <c r="J278" s="5">
        <v>44534.74</v>
      </c>
      <c r="K278" s="5" t="str">
        <f t="shared" si="30"/>
        <v>Medium</v>
      </c>
      <c r="L278" s="6" t="s">
        <v>24</v>
      </c>
      <c r="M278">
        <v>24</v>
      </c>
      <c r="N278" s="6" t="str">
        <f t="shared" si="31"/>
        <v>Young Adults</v>
      </c>
      <c r="O278" s="6" t="s">
        <v>25</v>
      </c>
      <c r="P278" s="6" t="s">
        <v>36</v>
      </c>
      <c r="Q278" t="s">
        <v>391</v>
      </c>
      <c r="R278" s="6" t="s">
        <v>38</v>
      </c>
      <c r="S278" s="6" t="s">
        <v>29</v>
      </c>
      <c r="T278" s="14">
        <v>2.81E-2</v>
      </c>
      <c r="U278">
        <v>2.81</v>
      </c>
      <c r="V278" t="str">
        <f>IF(fin_table[[#This Row],[Interest Rate(%)]]&gt;4,"high","low")</f>
        <v>low</v>
      </c>
      <c r="W278" s="5">
        <v>26681.654999999999</v>
      </c>
      <c r="X278" s="5">
        <f>fin_table[[#This Row],[Interest Rate]]*fin_table[[#This Row],[Loan Amount]]</f>
        <v>749.75450549999994</v>
      </c>
      <c r="Y278">
        <v>13</v>
      </c>
      <c r="Z278" s="3">
        <v>508</v>
      </c>
      <c r="AA278" s="3" t="str">
        <f t="shared" si="32"/>
        <v>Poor</v>
      </c>
      <c r="AB278" s="3" cm="1">
        <f t="array" ref="AB278">_xlfn.IFS(fin_table[[#This Row],[Transaction Status]]="Failed", 1, fin_table[[#This Row],[Transaction Status]]="Completed",0,fin_table[[#This Row],[Transaction Status]]="Pending",2)</f>
        <v>1</v>
      </c>
      <c r="AC278" s="3" t="str">
        <f>IF(fin_table[[#This Row],[Loan Defaulters]]=1,"Default", "Good")</f>
        <v>Default</v>
      </c>
      <c r="AD278" s="3">
        <f t="shared" si="33"/>
        <v>1</v>
      </c>
      <c r="AE278" s="4">
        <v>14609.03</v>
      </c>
      <c r="AF278" s="4" t="str">
        <f>IF(fin_table[[#This Row],[Monthly Income]]&lt;3000, "Low Income", IF(fin_table[[#This Row],[Monthly Income]]&lt;=5000, "Middle Income", "High Income"))</f>
        <v>High Income</v>
      </c>
      <c r="AG278" t="s">
        <v>45</v>
      </c>
      <c r="AH278" t="s">
        <v>3635</v>
      </c>
      <c r="AI278" t="str">
        <f t="shared" si="34"/>
        <v>Low-Risk</v>
      </c>
    </row>
    <row r="279" spans="1:35" x14ac:dyDescent="0.35">
      <c r="A279" t="s">
        <v>1103</v>
      </c>
      <c r="B279" t="s">
        <v>1104</v>
      </c>
      <c r="C279" t="s">
        <v>1105</v>
      </c>
      <c r="D279" s="1">
        <v>44782</v>
      </c>
      <c r="E279" s="1" t="str">
        <f t="shared" si="28"/>
        <v>09</v>
      </c>
      <c r="F279" s="1" t="str">
        <f t="shared" si="29"/>
        <v>Aug</v>
      </c>
      <c r="G279" s="6" t="s">
        <v>34</v>
      </c>
      <c r="H279" s="5">
        <v>3763.52</v>
      </c>
      <c r="I279" s="5" t="str">
        <f>IF(fin_table[[#This Row],[Account Balance]]&lt;20000,"Active", "Not Active")</f>
        <v>Not Active</v>
      </c>
      <c r="J279" s="5">
        <v>41392.019999999997</v>
      </c>
      <c r="K279" s="5" t="str">
        <f t="shared" si="30"/>
        <v>Medium</v>
      </c>
      <c r="L279" s="6" t="s">
        <v>35</v>
      </c>
      <c r="M279">
        <v>57</v>
      </c>
      <c r="N279" s="6" t="str">
        <f t="shared" si="31"/>
        <v>Older Adults</v>
      </c>
      <c r="O279" s="6" t="s">
        <v>25</v>
      </c>
      <c r="P279" s="6" t="s">
        <v>26</v>
      </c>
      <c r="Q279" t="s">
        <v>1106</v>
      </c>
      <c r="R279" s="6" t="s">
        <v>52</v>
      </c>
      <c r="S279" s="6" t="s">
        <v>29</v>
      </c>
      <c r="T279" s="14">
        <v>3.7699999999999997E-2</v>
      </c>
      <c r="U279">
        <v>3.77</v>
      </c>
      <c r="V279" t="str">
        <f>IF(fin_table[[#This Row],[Interest Rate(%)]]&gt;4,"high","low")</f>
        <v>low</v>
      </c>
      <c r="W279" s="5">
        <v>26681.654999999999</v>
      </c>
      <c r="X279" s="5">
        <f>fin_table[[#This Row],[Interest Rate]]*fin_table[[#This Row],[Loan Amount]]</f>
        <v>1005.8983934999999</v>
      </c>
      <c r="Y279">
        <v>13</v>
      </c>
      <c r="Z279" s="3">
        <v>846</v>
      </c>
      <c r="AA279" s="3" t="str">
        <f t="shared" si="32"/>
        <v>Excellent</v>
      </c>
      <c r="AB279" s="3" cm="1">
        <f t="array" ref="AB279">_xlfn.IFS(fin_table[[#This Row],[Transaction Status]]="Failed", 1, fin_table[[#This Row],[Transaction Status]]="Completed",0,fin_table[[#This Row],[Transaction Status]]="Pending",2)</f>
        <v>1</v>
      </c>
      <c r="AC279" s="3" t="str">
        <f>IF(fin_table[[#This Row],[Loan Defaulters]]=1,"Default", "Good")</f>
        <v>Default</v>
      </c>
      <c r="AD279" s="3">
        <f t="shared" si="33"/>
        <v>5</v>
      </c>
      <c r="AE279" s="4">
        <v>10247.89</v>
      </c>
      <c r="AF279" s="4" t="str">
        <f>IF(fin_table[[#This Row],[Monthly Income]]&lt;3000, "Low Income", IF(fin_table[[#This Row],[Monthly Income]]&lt;=5000, "Middle Income", "High Income"))</f>
        <v>High Income</v>
      </c>
      <c r="AG279" t="s">
        <v>63</v>
      </c>
      <c r="AH279" t="s">
        <v>3635</v>
      </c>
      <c r="AI279" t="str">
        <f t="shared" si="34"/>
        <v>Low-Risk</v>
      </c>
    </row>
    <row r="280" spans="1:35" x14ac:dyDescent="0.35">
      <c r="A280" t="s">
        <v>1107</v>
      </c>
      <c r="B280" t="s">
        <v>1108</v>
      </c>
      <c r="C280" t="s">
        <v>1109</v>
      </c>
      <c r="D280" s="1">
        <v>44661</v>
      </c>
      <c r="E280" s="1" t="str">
        <f t="shared" si="28"/>
        <v>10</v>
      </c>
      <c r="F280" s="1" t="str">
        <f t="shared" si="29"/>
        <v>Apr</v>
      </c>
      <c r="G280" s="6" t="s">
        <v>56</v>
      </c>
      <c r="H280" s="5">
        <v>371.46</v>
      </c>
      <c r="I280" s="5" t="str">
        <f>IF(fin_table[[#This Row],[Account Balance]]&lt;20000,"Active", "Not Active")</f>
        <v>Not Active</v>
      </c>
      <c r="J280" s="5">
        <v>31871.95</v>
      </c>
      <c r="K280" s="5" t="str">
        <f t="shared" si="30"/>
        <v>Medium</v>
      </c>
      <c r="L280" s="6" t="s">
        <v>24</v>
      </c>
      <c r="M280">
        <v>50</v>
      </c>
      <c r="N280" s="6" t="str">
        <f t="shared" si="31"/>
        <v>Older Adults</v>
      </c>
      <c r="O280" s="6" t="s">
        <v>25</v>
      </c>
      <c r="P280" s="6" t="s">
        <v>36</v>
      </c>
      <c r="Q280" t="s">
        <v>1110</v>
      </c>
      <c r="R280" s="6" t="s">
        <v>52</v>
      </c>
      <c r="S280" s="6" t="s">
        <v>62</v>
      </c>
      <c r="T280" s="14">
        <v>3.5499999999999997E-2</v>
      </c>
      <c r="U280">
        <v>3.55</v>
      </c>
      <c r="V280" t="str">
        <f>IF(fin_table[[#This Row],[Interest Rate(%)]]&gt;4,"high","low")</f>
        <v>low</v>
      </c>
      <c r="W280" s="5">
        <v>10602.74</v>
      </c>
      <c r="X280" s="5">
        <f>fin_table[[#This Row],[Interest Rate]]*fin_table[[#This Row],[Loan Amount]]</f>
        <v>376.39726999999993</v>
      </c>
      <c r="Y280">
        <v>15</v>
      </c>
      <c r="Z280" s="3">
        <v>418</v>
      </c>
      <c r="AA280" s="3" t="str">
        <f t="shared" si="32"/>
        <v>Poor</v>
      </c>
      <c r="AB280" s="3" cm="1">
        <f t="array" ref="AB280">_xlfn.IFS(fin_table[[#This Row],[Transaction Status]]="Failed", 1, fin_table[[#This Row],[Transaction Status]]="Completed",0,fin_table[[#This Row],[Transaction Status]]="Pending",2)</f>
        <v>2</v>
      </c>
      <c r="AC280" s="3" t="str">
        <f>IF(fin_table[[#This Row],[Loan Defaulters]]=1,"Default", "Good")</f>
        <v>Good</v>
      </c>
      <c r="AD280" s="3">
        <f t="shared" si="33"/>
        <v>1</v>
      </c>
      <c r="AE280" s="4">
        <v>11932.72</v>
      </c>
      <c r="AF280" s="4" t="str">
        <f>IF(fin_table[[#This Row],[Monthly Income]]&lt;3000, "Low Income", IF(fin_table[[#This Row],[Monthly Income]]&lt;=5000, "Middle Income", "High Income"))</f>
        <v>High Income</v>
      </c>
      <c r="AG280" t="s">
        <v>63</v>
      </c>
      <c r="AH280" t="s">
        <v>3636</v>
      </c>
      <c r="AI280" t="str">
        <f t="shared" si="34"/>
        <v>Low-Risk</v>
      </c>
    </row>
    <row r="281" spans="1:35" x14ac:dyDescent="0.35">
      <c r="A281" t="s">
        <v>1111</v>
      </c>
      <c r="B281" t="s">
        <v>1112</v>
      </c>
      <c r="C281" t="s">
        <v>1113</v>
      </c>
      <c r="D281" s="1">
        <v>44858</v>
      </c>
      <c r="E281" s="1" t="str">
        <f t="shared" si="28"/>
        <v>24</v>
      </c>
      <c r="F281" s="1" t="str">
        <f t="shared" si="29"/>
        <v>Oct</v>
      </c>
      <c r="G281" s="6" t="s">
        <v>34</v>
      </c>
      <c r="H281" s="5">
        <v>3990.44</v>
      </c>
      <c r="I281" s="5" t="str">
        <f>IF(fin_table[[#This Row],[Account Balance]]&lt;20000,"Active", "Not Active")</f>
        <v>Not Active</v>
      </c>
      <c r="J281" s="5">
        <v>43047.9</v>
      </c>
      <c r="K281" s="5" t="str">
        <f t="shared" si="30"/>
        <v>Medium</v>
      </c>
      <c r="L281" s="6" t="s">
        <v>49</v>
      </c>
      <c r="M281">
        <v>38</v>
      </c>
      <c r="N281" s="6" t="str">
        <f t="shared" si="31"/>
        <v>Middle-Aged</v>
      </c>
      <c r="O281" s="6" t="s">
        <v>42</v>
      </c>
      <c r="P281" s="6" t="s">
        <v>36</v>
      </c>
      <c r="Q281" t="s">
        <v>1114</v>
      </c>
      <c r="R281" s="6" t="s">
        <v>38</v>
      </c>
      <c r="S281" s="6" t="s">
        <v>29</v>
      </c>
      <c r="T281" s="14">
        <v>3.8699999999999998E-2</v>
      </c>
      <c r="U281">
        <v>3.87</v>
      </c>
      <c r="V281" t="str">
        <f>IF(fin_table[[#This Row],[Interest Rate(%)]]&gt;4,"high","low")</f>
        <v>low</v>
      </c>
      <c r="W281" s="5">
        <v>48677</v>
      </c>
      <c r="X281" s="5">
        <f>fin_table[[#This Row],[Interest Rate]]*fin_table[[#This Row],[Loan Amount]]</f>
        <v>1883.7999</v>
      </c>
      <c r="Y281">
        <v>18</v>
      </c>
      <c r="Z281" s="3">
        <v>614</v>
      </c>
      <c r="AA281" s="3" t="str">
        <f t="shared" si="32"/>
        <v>Fair</v>
      </c>
      <c r="AB281" s="3" cm="1">
        <f t="array" ref="AB281">_xlfn.IFS(fin_table[[#This Row],[Transaction Status]]="Failed", 1, fin_table[[#This Row],[Transaction Status]]="Completed",0,fin_table[[#This Row],[Transaction Status]]="Pending",2)</f>
        <v>1</v>
      </c>
      <c r="AC281" s="3" t="str">
        <f>IF(fin_table[[#This Row],[Loan Defaulters]]=1,"Default", "Good")</f>
        <v>Default</v>
      </c>
      <c r="AD281" s="3">
        <f t="shared" si="33"/>
        <v>2</v>
      </c>
      <c r="AE281" s="4">
        <v>3089.51</v>
      </c>
      <c r="AF281" s="4" t="str">
        <f>IF(fin_table[[#This Row],[Monthly Income]]&lt;3000, "Low Income", IF(fin_table[[#This Row],[Monthly Income]]&lt;=5000, "Middle Income", "High Income"))</f>
        <v>Middle Income</v>
      </c>
      <c r="AG281" t="s">
        <v>63</v>
      </c>
      <c r="AH281" t="s">
        <v>3636</v>
      </c>
      <c r="AI281" t="str">
        <f t="shared" si="34"/>
        <v>Low-Risk</v>
      </c>
    </row>
    <row r="282" spans="1:35" x14ac:dyDescent="0.35">
      <c r="A282" t="s">
        <v>1115</v>
      </c>
      <c r="B282" t="s">
        <v>904</v>
      </c>
      <c r="C282" t="s">
        <v>1116</v>
      </c>
      <c r="D282" s="1">
        <v>44906</v>
      </c>
      <c r="E282" s="1" t="str">
        <f t="shared" si="28"/>
        <v>11</v>
      </c>
      <c r="F282" s="1" t="str">
        <f t="shared" si="29"/>
        <v>Dec</v>
      </c>
      <c r="G282" s="6" t="s">
        <v>23</v>
      </c>
      <c r="H282" s="5">
        <v>5305.54</v>
      </c>
      <c r="I282" s="5" t="str">
        <f>IF(fin_table[[#This Row],[Account Balance]]&lt;20000,"Active", "Not Active")</f>
        <v>Not Active</v>
      </c>
      <c r="J282" s="5">
        <v>39404.85</v>
      </c>
      <c r="K282" s="5" t="str">
        <f t="shared" si="30"/>
        <v>Medium</v>
      </c>
      <c r="L282" s="6" t="s">
        <v>125</v>
      </c>
      <c r="M282">
        <v>19</v>
      </c>
      <c r="N282" s="6" t="str">
        <f t="shared" si="31"/>
        <v>Young Adults</v>
      </c>
      <c r="O282" s="6" t="s">
        <v>25</v>
      </c>
      <c r="P282" s="6" t="s">
        <v>26</v>
      </c>
      <c r="Q282" t="s">
        <v>1117</v>
      </c>
      <c r="R282" s="6" t="s">
        <v>52</v>
      </c>
      <c r="S282" s="6" t="s">
        <v>44</v>
      </c>
      <c r="T282" s="14">
        <v>1.9E-2</v>
      </c>
      <c r="U282">
        <v>1.9E-2</v>
      </c>
      <c r="V282" t="str">
        <f>IF(fin_table[[#This Row],[Interest Rate(%)]]&gt;4,"high","low")</f>
        <v>low</v>
      </c>
      <c r="W282" s="5">
        <v>29971.919999999998</v>
      </c>
      <c r="X282" s="5">
        <f>fin_table[[#This Row],[Interest Rate]]*fin_table[[#This Row],[Loan Amount]]</f>
        <v>569.46647999999993</v>
      </c>
      <c r="Y282">
        <v>7</v>
      </c>
      <c r="Z282" s="3">
        <v>335</v>
      </c>
      <c r="AA282" s="3" t="str">
        <f t="shared" si="32"/>
        <v>Poor</v>
      </c>
      <c r="AB282" s="3" cm="1">
        <f t="array" ref="AB282">_xlfn.IFS(fin_table[[#This Row],[Transaction Status]]="Failed", 1, fin_table[[#This Row],[Transaction Status]]="Completed",0,fin_table[[#This Row],[Transaction Status]]="Pending",2)</f>
        <v>0</v>
      </c>
      <c r="AC282" s="3" t="str">
        <f>IF(fin_table[[#This Row],[Loan Defaulters]]=1,"Default", "Good")</f>
        <v>Good</v>
      </c>
      <c r="AD282" s="3">
        <f t="shared" si="33"/>
        <v>1</v>
      </c>
      <c r="AE282" s="4">
        <v>4089.3</v>
      </c>
      <c r="AF282" s="4" t="str">
        <f>IF(fin_table[[#This Row],[Monthly Income]]&lt;3000, "Low Income", IF(fin_table[[#This Row],[Monthly Income]]&lt;=5000, "Middle Income", "High Income"))</f>
        <v>Middle Income</v>
      </c>
      <c r="AG282" t="s">
        <v>30</v>
      </c>
      <c r="AH282" t="s">
        <v>3636</v>
      </c>
      <c r="AI282" t="str">
        <f t="shared" si="34"/>
        <v>Low-Risk</v>
      </c>
    </row>
    <row r="283" spans="1:35" x14ac:dyDescent="0.35">
      <c r="A283" t="s">
        <v>1118</v>
      </c>
      <c r="B283" t="s">
        <v>1119</v>
      </c>
      <c r="C283" t="s">
        <v>1120</v>
      </c>
      <c r="D283" s="1">
        <v>44949</v>
      </c>
      <c r="E283" s="1" t="str">
        <f t="shared" si="28"/>
        <v>23</v>
      </c>
      <c r="F283" s="1" t="str">
        <f t="shared" si="29"/>
        <v>Jan</v>
      </c>
      <c r="G283" s="6" t="s">
        <v>56</v>
      </c>
      <c r="H283" s="5">
        <v>5165.6499999999996</v>
      </c>
      <c r="I283" s="5" t="str">
        <f>IF(fin_table[[#This Row],[Account Balance]]&lt;20000,"Active", "Not Active")</f>
        <v>Not Active</v>
      </c>
      <c r="J283" s="5">
        <v>22020.26</v>
      </c>
      <c r="K283" s="5" t="str">
        <f t="shared" si="30"/>
        <v>Medium</v>
      </c>
      <c r="L283" s="6" t="s">
        <v>125</v>
      </c>
      <c r="M283">
        <v>35</v>
      </c>
      <c r="N283" s="6" t="str">
        <f t="shared" si="31"/>
        <v>Adults</v>
      </c>
      <c r="O283" s="6" t="s">
        <v>25</v>
      </c>
      <c r="P283" s="6" t="s">
        <v>50</v>
      </c>
      <c r="Q283" t="s">
        <v>1121</v>
      </c>
      <c r="R283" s="6" t="s">
        <v>52</v>
      </c>
      <c r="S283" s="6" t="s">
        <v>62</v>
      </c>
      <c r="T283" s="14">
        <v>1.3899999999999999E-2</v>
      </c>
      <c r="U283">
        <v>1.39</v>
      </c>
      <c r="V283" t="str">
        <f>IF(fin_table[[#This Row],[Interest Rate(%)]]&gt;4,"high","low")</f>
        <v>low</v>
      </c>
      <c r="W283" s="5">
        <v>26681.654999999999</v>
      </c>
      <c r="X283" s="5">
        <f>fin_table[[#This Row],[Interest Rate]]*fin_table[[#This Row],[Loan Amount]]</f>
        <v>370.87500449999999</v>
      </c>
      <c r="Y283">
        <v>16</v>
      </c>
      <c r="Z283" s="3">
        <v>762</v>
      </c>
      <c r="AA283" s="3" t="str">
        <f t="shared" si="32"/>
        <v>Very Good</v>
      </c>
      <c r="AB283" s="3" cm="1">
        <f t="array" ref="AB283">_xlfn.IFS(fin_table[[#This Row],[Transaction Status]]="Failed", 1, fin_table[[#This Row],[Transaction Status]]="Completed",0,fin_table[[#This Row],[Transaction Status]]="Pending",2)</f>
        <v>2</v>
      </c>
      <c r="AC283" s="3" t="str">
        <f>IF(fin_table[[#This Row],[Loan Defaulters]]=1,"Default", "Good")</f>
        <v>Good</v>
      </c>
      <c r="AD283" s="3">
        <f t="shared" si="33"/>
        <v>4</v>
      </c>
      <c r="AE283" s="4">
        <v>11531.66</v>
      </c>
      <c r="AF283" s="4" t="str">
        <f>IF(fin_table[[#This Row],[Monthly Income]]&lt;3000, "Low Income", IF(fin_table[[#This Row],[Monthly Income]]&lt;=5000, "Middle Income", "High Income"))</f>
        <v>High Income</v>
      </c>
      <c r="AG283" t="s">
        <v>30</v>
      </c>
      <c r="AH283" t="s">
        <v>3635</v>
      </c>
      <c r="AI283" t="str">
        <f t="shared" si="34"/>
        <v>Low-Risk</v>
      </c>
    </row>
    <row r="284" spans="1:35" x14ac:dyDescent="0.35">
      <c r="A284" t="s">
        <v>1122</v>
      </c>
      <c r="B284" t="s">
        <v>1123</v>
      </c>
      <c r="C284" t="s">
        <v>1124</v>
      </c>
      <c r="D284" s="1">
        <v>45118</v>
      </c>
      <c r="E284" s="1" t="str">
        <f t="shared" si="28"/>
        <v>11</v>
      </c>
      <c r="F284" s="1" t="str">
        <f t="shared" si="29"/>
        <v>Jul</v>
      </c>
      <c r="G284" s="6" t="s">
        <v>71</v>
      </c>
      <c r="H284" s="5">
        <v>1739.72</v>
      </c>
      <c r="I284" s="5" t="str">
        <f>IF(fin_table[[#This Row],[Account Balance]]&lt;20000,"Active", "Not Active")</f>
        <v>Active</v>
      </c>
      <c r="J284" s="5">
        <v>10852.19</v>
      </c>
      <c r="K284" s="5" t="str">
        <f t="shared" si="30"/>
        <v>Medium</v>
      </c>
      <c r="L284" s="6" t="s">
        <v>49</v>
      </c>
      <c r="M284">
        <v>64</v>
      </c>
      <c r="N284" s="6" t="str">
        <f t="shared" si="31"/>
        <v>Seniors</v>
      </c>
      <c r="O284" s="6" t="s">
        <v>42</v>
      </c>
      <c r="P284" s="6" t="s">
        <v>26</v>
      </c>
      <c r="Q284" t="s">
        <v>546</v>
      </c>
      <c r="R284" s="6" t="s">
        <v>38</v>
      </c>
      <c r="S284" s="6" t="s">
        <v>62</v>
      </c>
      <c r="T284" s="14">
        <v>4.6699999999999998E-2</v>
      </c>
      <c r="U284">
        <v>4.67</v>
      </c>
      <c r="V284" t="str">
        <f>IF(fin_table[[#This Row],[Interest Rate(%)]]&gt;4,"high","low")</f>
        <v>high</v>
      </c>
      <c r="W284" s="5">
        <v>26681.654999999999</v>
      </c>
      <c r="X284" s="5">
        <f>fin_table[[#This Row],[Interest Rate]]*fin_table[[#This Row],[Loan Amount]]</f>
        <v>1246.0332884999998</v>
      </c>
      <c r="Y284">
        <v>7</v>
      </c>
      <c r="Z284" s="3">
        <v>702</v>
      </c>
      <c r="AA284" s="3" t="str">
        <f t="shared" si="32"/>
        <v>Good</v>
      </c>
      <c r="AB284" s="3" cm="1">
        <f t="array" ref="AB284">_xlfn.IFS(fin_table[[#This Row],[Transaction Status]]="Failed", 1, fin_table[[#This Row],[Transaction Status]]="Completed",0,fin_table[[#This Row],[Transaction Status]]="Pending",2)</f>
        <v>2</v>
      </c>
      <c r="AC284" s="3" t="str">
        <f>IF(fin_table[[#This Row],[Loan Defaulters]]=1,"Default", "Good")</f>
        <v>Good</v>
      </c>
      <c r="AD284" s="3">
        <f t="shared" si="33"/>
        <v>3</v>
      </c>
      <c r="AE284" s="4">
        <v>7607.75</v>
      </c>
      <c r="AF284" s="4" t="str">
        <f>IF(fin_table[[#This Row],[Monthly Income]]&lt;3000, "Low Income", IF(fin_table[[#This Row],[Monthly Income]]&lt;=5000, "Middle Income", "High Income"))</f>
        <v>High Income</v>
      </c>
      <c r="AG284" t="s">
        <v>45</v>
      </c>
      <c r="AH284" t="s">
        <v>3635</v>
      </c>
      <c r="AI284" t="str">
        <f t="shared" si="34"/>
        <v>Low-Risk</v>
      </c>
    </row>
    <row r="285" spans="1:35" x14ac:dyDescent="0.35">
      <c r="A285" t="s">
        <v>1125</v>
      </c>
      <c r="B285" t="s">
        <v>1126</v>
      </c>
      <c r="C285" t="s">
        <v>1127</v>
      </c>
      <c r="D285" s="1">
        <v>44746</v>
      </c>
      <c r="E285" s="1" t="str">
        <f t="shared" si="28"/>
        <v>04</v>
      </c>
      <c r="F285" s="1" t="str">
        <f t="shared" si="29"/>
        <v>Jul</v>
      </c>
      <c r="G285" s="6" t="s">
        <v>71</v>
      </c>
      <c r="H285" s="5">
        <v>6492.83</v>
      </c>
      <c r="I285" s="5" t="str">
        <f>IF(fin_table[[#This Row],[Account Balance]]&lt;20000,"Active", "Not Active")</f>
        <v>Not Active</v>
      </c>
      <c r="J285" s="5">
        <v>26195.85</v>
      </c>
      <c r="K285" s="5" t="str">
        <f t="shared" si="30"/>
        <v>Medium</v>
      </c>
      <c r="L285" s="6" t="s">
        <v>24</v>
      </c>
      <c r="M285">
        <v>50</v>
      </c>
      <c r="N285" s="6" t="str">
        <f t="shared" si="31"/>
        <v>Older Adults</v>
      </c>
      <c r="O285" s="6" t="s">
        <v>42</v>
      </c>
      <c r="P285" s="6" t="s">
        <v>26</v>
      </c>
      <c r="Q285" t="s">
        <v>1128</v>
      </c>
      <c r="R285" s="6" t="s">
        <v>38</v>
      </c>
      <c r="S285" s="6" t="s">
        <v>62</v>
      </c>
      <c r="T285" s="14">
        <v>3.2399999999999998E-2</v>
      </c>
      <c r="U285">
        <v>3.24</v>
      </c>
      <c r="V285" t="str">
        <f>IF(fin_table[[#This Row],[Interest Rate(%)]]&gt;4,"high","low")</f>
        <v>low</v>
      </c>
      <c r="W285" s="5">
        <v>26681.654999999999</v>
      </c>
      <c r="X285" s="5">
        <f>fin_table[[#This Row],[Interest Rate]]*fin_table[[#This Row],[Loan Amount]]</f>
        <v>864.48562199999992</v>
      </c>
      <c r="Y285">
        <v>17</v>
      </c>
      <c r="Z285" s="3">
        <v>406</v>
      </c>
      <c r="AA285" s="3" t="str">
        <f t="shared" si="32"/>
        <v>Poor</v>
      </c>
      <c r="AB285" s="3" cm="1">
        <f t="array" ref="AB285">_xlfn.IFS(fin_table[[#This Row],[Transaction Status]]="Failed", 1, fin_table[[#This Row],[Transaction Status]]="Completed",0,fin_table[[#This Row],[Transaction Status]]="Pending",2)</f>
        <v>2</v>
      </c>
      <c r="AC285" s="3" t="str">
        <f>IF(fin_table[[#This Row],[Loan Defaulters]]=1,"Default", "Good")</f>
        <v>Good</v>
      </c>
      <c r="AD285" s="3">
        <f t="shared" si="33"/>
        <v>1</v>
      </c>
      <c r="AE285" s="4">
        <v>7797.55</v>
      </c>
      <c r="AF285" s="4" t="str">
        <f>IF(fin_table[[#This Row],[Monthly Income]]&lt;3000, "Low Income", IF(fin_table[[#This Row],[Monthly Income]]&lt;=5000, "Middle Income", "High Income"))</f>
        <v>High Income</v>
      </c>
      <c r="AG285" t="s">
        <v>30</v>
      </c>
      <c r="AH285" t="s">
        <v>3635</v>
      </c>
      <c r="AI285" t="str">
        <f t="shared" si="34"/>
        <v>Low-Risk</v>
      </c>
    </row>
    <row r="286" spans="1:35" x14ac:dyDescent="0.35">
      <c r="A286" t="s">
        <v>1129</v>
      </c>
      <c r="B286" t="s">
        <v>1130</v>
      </c>
      <c r="C286" t="s">
        <v>1131</v>
      </c>
      <c r="D286" s="1">
        <v>44849</v>
      </c>
      <c r="E286" s="1" t="str">
        <f t="shared" si="28"/>
        <v>15</v>
      </c>
      <c r="F286" s="1" t="str">
        <f t="shared" si="29"/>
        <v>Oct</v>
      </c>
      <c r="G286" s="6" t="s">
        <v>71</v>
      </c>
      <c r="H286" s="5">
        <v>543.30999999999995</v>
      </c>
      <c r="I286" s="5" t="str">
        <f>IF(fin_table[[#This Row],[Account Balance]]&lt;20000,"Active", "Not Active")</f>
        <v>Not Active</v>
      </c>
      <c r="J286" s="5">
        <v>37075.22</v>
      </c>
      <c r="K286" s="5" t="str">
        <f t="shared" si="30"/>
        <v>Medium</v>
      </c>
      <c r="L286" s="6" t="s">
        <v>35</v>
      </c>
      <c r="M286">
        <v>54</v>
      </c>
      <c r="N286" s="6" t="str">
        <f t="shared" si="31"/>
        <v>Older Adults</v>
      </c>
      <c r="O286" s="6" t="s">
        <v>42</v>
      </c>
      <c r="P286" s="6" t="s">
        <v>26</v>
      </c>
      <c r="Q286" t="s">
        <v>1132</v>
      </c>
      <c r="R286" s="6" t="s">
        <v>52</v>
      </c>
      <c r="S286" s="6" t="s">
        <v>44</v>
      </c>
      <c r="T286" s="14">
        <v>1.6199999999999999E-2</v>
      </c>
      <c r="U286">
        <v>1.62</v>
      </c>
      <c r="V286" t="str">
        <f>IF(fin_table[[#This Row],[Interest Rate(%)]]&gt;4,"high","low")</f>
        <v>low</v>
      </c>
      <c r="W286" s="5">
        <v>33484.97</v>
      </c>
      <c r="X286" s="5">
        <f>fin_table[[#This Row],[Interest Rate]]*fin_table[[#This Row],[Loan Amount]]</f>
        <v>542.45651399999997</v>
      </c>
      <c r="Y286">
        <v>4</v>
      </c>
      <c r="Z286" s="3">
        <v>338</v>
      </c>
      <c r="AA286" s="3" t="str">
        <f t="shared" si="32"/>
        <v>Poor</v>
      </c>
      <c r="AB286" s="3" cm="1">
        <f t="array" ref="AB286">_xlfn.IFS(fin_table[[#This Row],[Transaction Status]]="Failed", 1, fin_table[[#This Row],[Transaction Status]]="Completed",0,fin_table[[#This Row],[Transaction Status]]="Pending",2)</f>
        <v>0</v>
      </c>
      <c r="AC286" s="3" t="str">
        <f>IF(fin_table[[#This Row],[Loan Defaulters]]=1,"Default", "Good")</f>
        <v>Good</v>
      </c>
      <c r="AD286" s="3">
        <f t="shared" si="33"/>
        <v>1</v>
      </c>
      <c r="AE286" s="4">
        <v>6011.9</v>
      </c>
      <c r="AF286" s="4" t="str">
        <f>IF(fin_table[[#This Row],[Monthly Income]]&lt;3000, "Low Income", IF(fin_table[[#This Row],[Monthly Income]]&lt;=5000, "Middle Income", "High Income"))</f>
        <v>High Income</v>
      </c>
      <c r="AG286" t="s">
        <v>45</v>
      </c>
      <c r="AH286" t="s">
        <v>3636</v>
      </c>
      <c r="AI286" t="str">
        <f t="shared" si="34"/>
        <v>High-Risk</v>
      </c>
    </row>
    <row r="287" spans="1:35" x14ac:dyDescent="0.35">
      <c r="A287" t="s">
        <v>1133</v>
      </c>
      <c r="B287" t="s">
        <v>1134</v>
      </c>
      <c r="C287" t="s">
        <v>1135</v>
      </c>
      <c r="D287" s="1">
        <v>45008</v>
      </c>
      <c r="E287" s="1" t="str">
        <f t="shared" si="28"/>
        <v>23</v>
      </c>
      <c r="F287" s="1" t="str">
        <f t="shared" si="29"/>
        <v>Mar</v>
      </c>
      <c r="G287" s="6" t="s">
        <v>71</v>
      </c>
      <c r="H287" s="5">
        <v>7642.88</v>
      </c>
      <c r="I287" s="5" t="str">
        <f>IF(fin_table[[#This Row],[Account Balance]]&lt;20000,"Active", "Not Active")</f>
        <v>Not Active</v>
      </c>
      <c r="J287" s="5">
        <v>22384.560000000001</v>
      </c>
      <c r="K287" s="5" t="str">
        <f t="shared" si="30"/>
        <v>Medium</v>
      </c>
      <c r="L287" s="6" t="s">
        <v>49</v>
      </c>
      <c r="M287">
        <v>51</v>
      </c>
      <c r="N287" s="6" t="str">
        <f t="shared" si="31"/>
        <v>Older Adults</v>
      </c>
      <c r="O287" s="6" t="s">
        <v>42</v>
      </c>
      <c r="P287" s="6" t="s">
        <v>26</v>
      </c>
      <c r="Q287" t="s">
        <v>1136</v>
      </c>
      <c r="R287" s="6" t="s">
        <v>28</v>
      </c>
      <c r="S287" s="6" t="s">
        <v>62</v>
      </c>
      <c r="T287" s="14">
        <v>4.1700000000000001E-2</v>
      </c>
      <c r="U287">
        <v>4.17</v>
      </c>
      <c r="V287" t="str">
        <f>IF(fin_table[[#This Row],[Interest Rate(%)]]&gt;4,"high","low")</f>
        <v>high</v>
      </c>
      <c r="W287" s="5">
        <v>26681.654999999999</v>
      </c>
      <c r="X287" s="5">
        <f>fin_table[[#This Row],[Interest Rate]]*fin_table[[#This Row],[Loan Amount]]</f>
        <v>1112.6250135</v>
      </c>
      <c r="Y287">
        <v>12</v>
      </c>
      <c r="Z287" s="3">
        <v>479</v>
      </c>
      <c r="AA287" s="3" t="str">
        <f t="shared" si="32"/>
        <v>Poor</v>
      </c>
      <c r="AB287" s="3" cm="1">
        <f t="array" ref="AB287">_xlfn.IFS(fin_table[[#This Row],[Transaction Status]]="Failed", 1, fin_table[[#This Row],[Transaction Status]]="Completed",0,fin_table[[#This Row],[Transaction Status]]="Pending",2)</f>
        <v>2</v>
      </c>
      <c r="AC287" s="3" t="str">
        <f>IF(fin_table[[#This Row],[Loan Defaulters]]=1,"Default", "Good")</f>
        <v>Good</v>
      </c>
      <c r="AD287" s="3">
        <f t="shared" si="33"/>
        <v>1</v>
      </c>
      <c r="AE287" s="4">
        <v>9895.6299999999992</v>
      </c>
      <c r="AF287" s="4" t="str">
        <f>IF(fin_table[[#This Row],[Monthly Income]]&lt;3000, "Low Income", IF(fin_table[[#This Row],[Monthly Income]]&lt;=5000, "Middle Income", "High Income"))</f>
        <v>High Income</v>
      </c>
      <c r="AG287" t="s">
        <v>63</v>
      </c>
      <c r="AH287" t="s">
        <v>3635</v>
      </c>
      <c r="AI287" t="str">
        <f t="shared" si="34"/>
        <v>Low-Risk</v>
      </c>
    </row>
    <row r="288" spans="1:35" x14ac:dyDescent="0.35">
      <c r="A288" t="s">
        <v>1137</v>
      </c>
      <c r="B288" t="s">
        <v>1138</v>
      </c>
      <c r="C288" t="s">
        <v>1139</v>
      </c>
      <c r="D288" s="1">
        <v>44697</v>
      </c>
      <c r="E288" s="1" t="str">
        <f t="shared" si="28"/>
        <v>16</v>
      </c>
      <c r="F288" s="1" t="str">
        <f t="shared" si="29"/>
        <v>May</v>
      </c>
      <c r="G288" s="6" t="s">
        <v>34</v>
      </c>
      <c r="H288" s="5">
        <v>9471.7800000000007</v>
      </c>
      <c r="I288" s="5" t="str">
        <f>IF(fin_table[[#This Row],[Account Balance]]&lt;20000,"Active", "Not Active")</f>
        <v>Not Active</v>
      </c>
      <c r="J288" s="5">
        <v>33671.82</v>
      </c>
      <c r="K288" s="5" t="str">
        <f t="shared" si="30"/>
        <v>Medium</v>
      </c>
      <c r="L288" s="6" t="s">
        <v>100</v>
      </c>
      <c r="M288">
        <v>37</v>
      </c>
      <c r="N288" s="6" t="str">
        <f t="shared" si="31"/>
        <v>Middle-Aged</v>
      </c>
      <c r="O288" s="6" t="s">
        <v>25</v>
      </c>
      <c r="P288" s="6" t="s">
        <v>50</v>
      </c>
      <c r="Q288" t="s">
        <v>1140</v>
      </c>
      <c r="R288" s="6" t="s">
        <v>52</v>
      </c>
      <c r="S288" s="6" t="s">
        <v>62</v>
      </c>
      <c r="T288" s="14">
        <v>4.6600000000000003E-2</v>
      </c>
      <c r="U288">
        <v>4.66</v>
      </c>
      <c r="V288" t="str">
        <f>IF(fin_table[[#This Row],[Interest Rate(%)]]&gt;4,"high","low")</f>
        <v>high</v>
      </c>
      <c r="W288" s="5">
        <v>15935.09</v>
      </c>
      <c r="X288" s="5">
        <f>fin_table[[#This Row],[Interest Rate]]*fin_table[[#This Row],[Loan Amount]]</f>
        <v>742.57519400000001</v>
      </c>
      <c r="Y288">
        <v>13</v>
      </c>
      <c r="Z288" s="3">
        <v>311</v>
      </c>
      <c r="AA288" s="3" t="str">
        <f t="shared" si="32"/>
        <v>Poor</v>
      </c>
      <c r="AB288" s="3" cm="1">
        <f t="array" ref="AB288">_xlfn.IFS(fin_table[[#This Row],[Transaction Status]]="Failed", 1, fin_table[[#This Row],[Transaction Status]]="Completed",0,fin_table[[#This Row],[Transaction Status]]="Pending",2)</f>
        <v>2</v>
      </c>
      <c r="AC288" s="3" t="str">
        <f>IF(fin_table[[#This Row],[Loan Defaulters]]=1,"Default", "Good")</f>
        <v>Good</v>
      </c>
      <c r="AD288" s="3">
        <f t="shared" si="33"/>
        <v>1</v>
      </c>
      <c r="AE288" s="4">
        <v>4407.1499999999996</v>
      </c>
      <c r="AF288" s="4" t="str">
        <f>IF(fin_table[[#This Row],[Monthly Income]]&lt;3000, "Low Income", IF(fin_table[[#This Row],[Monthly Income]]&lt;=5000, "Middle Income", "High Income"))</f>
        <v>Middle Income</v>
      </c>
      <c r="AG288" t="s">
        <v>63</v>
      </c>
      <c r="AH288" t="s">
        <v>3636</v>
      </c>
      <c r="AI288" t="str">
        <f t="shared" si="34"/>
        <v>Low-Risk</v>
      </c>
    </row>
    <row r="289" spans="1:35" x14ac:dyDescent="0.35">
      <c r="A289" t="s">
        <v>1141</v>
      </c>
      <c r="B289" t="s">
        <v>111</v>
      </c>
      <c r="C289" t="s">
        <v>1142</v>
      </c>
      <c r="D289" s="1">
        <v>44699</v>
      </c>
      <c r="E289" s="1" t="str">
        <f t="shared" si="28"/>
        <v>18</v>
      </c>
      <c r="F289" s="1" t="str">
        <f t="shared" si="29"/>
        <v>May</v>
      </c>
      <c r="G289" s="6" t="s">
        <v>34</v>
      </c>
      <c r="H289" s="5">
        <v>3463.71</v>
      </c>
      <c r="I289" s="5" t="str">
        <f>IF(fin_table[[#This Row],[Account Balance]]&lt;20000,"Active", "Not Active")</f>
        <v>Active</v>
      </c>
      <c r="J289" s="5">
        <v>5622.04</v>
      </c>
      <c r="K289" s="5" t="str">
        <f t="shared" si="30"/>
        <v>Low</v>
      </c>
      <c r="L289" s="6" t="s">
        <v>24</v>
      </c>
      <c r="M289">
        <v>52</v>
      </c>
      <c r="N289" s="6" t="str">
        <f t="shared" si="31"/>
        <v>Older Adults</v>
      </c>
      <c r="O289" s="6" t="s">
        <v>42</v>
      </c>
      <c r="P289" s="6" t="s">
        <v>36</v>
      </c>
      <c r="Q289" t="s">
        <v>1143</v>
      </c>
      <c r="R289" s="6" t="s">
        <v>28</v>
      </c>
      <c r="S289" s="6" t="s">
        <v>62</v>
      </c>
      <c r="T289" s="14">
        <v>1.6799999999999999E-2</v>
      </c>
      <c r="U289">
        <v>1.68</v>
      </c>
      <c r="V289" t="str">
        <f>IF(fin_table[[#This Row],[Interest Rate(%)]]&gt;4,"high","low")</f>
        <v>low</v>
      </c>
      <c r="W289" s="5">
        <v>26681.654999999999</v>
      </c>
      <c r="X289" s="5">
        <f>fin_table[[#This Row],[Interest Rate]]*fin_table[[#This Row],[Loan Amount]]</f>
        <v>448.25180399999994</v>
      </c>
      <c r="Y289">
        <v>4</v>
      </c>
      <c r="Z289" s="3">
        <v>638</v>
      </c>
      <c r="AA289" s="3" t="str">
        <f t="shared" si="32"/>
        <v>Fair</v>
      </c>
      <c r="AB289" s="3" cm="1">
        <f t="array" ref="AB289">_xlfn.IFS(fin_table[[#This Row],[Transaction Status]]="Failed", 1, fin_table[[#This Row],[Transaction Status]]="Completed",0,fin_table[[#This Row],[Transaction Status]]="Pending",2)</f>
        <v>2</v>
      </c>
      <c r="AC289" s="3" t="str">
        <f>IF(fin_table[[#This Row],[Loan Defaulters]]=1,"Default", "Good")</f>
        <v>Good</v>
      </c>
      <c r="AD289" s="3">
        <f t="shared" si="33"/>
        <v>2</v>
      </c>
      <c r="AE289" s="4">
        <v>10149.91</v>
      </c>
      <c r="AF289" s="4" t="str">
        <f>IF(fin_table[[#This Row],[Monthly Income]]&lt;3000, "Low Income", IF(fin_table[[#This Row],[Monthly Income]]&lt;=5000, "Middle Income", "High Income"))</f>
        <v>High Income</v>
      </c>
      <c r="AG289" t="s">
        <v>45</v>
      </c>
      <c r="AH289" t="s">
        <v>3635</v>
      </c>
      <c r="AI289" t="str">
        <f t="shared" si="34"/>
        <v>Low-Risk</v>
      </c>
    </row>
    <row r="290" spans="1:35" x14ac:dyDescent="0.35">
      <c r="A290" t="s">
        <v>1144</v>
      </c>
      <c r="B290" t="s">
        <v>1145</v>
      </c>
      <c r="C290" t="s">
        <v>1146</v>
      </c>
      <c r="D290" s="1">
        <v>44667</v>
      </c>
      <c r="E290" s="1" t="str">
        <f t="shared" si="28"/>
        <v>16</v>
      </c>
      <c r="F290" s="1" t="str">
        <f t="shared" si="29"/>
        <v>Apr</v>
      </c>
      <c r="G290" s="6" t="s">
        <v>71</v>
      </c>
      <c r="H290" s="5">
        <v>5220.67</v>
      </c>
      <c r="I290" s="5" t="str">
        <f>IF(fin_table[[#This Row],[Account Balance]]&lt;20000,"Active", "Not Active")</f>
        <v>Not Active</v>
      </c>
      <c r="J290" s="5">
        <v>37652.230000000003</v>
      </c>
      <c r="K290" s="5" t="str">
        <f t="shared" si="30"/>
        <v>Medium</v>
      </c>
      <c r="L290" s="6" t="s">
        <v>125</v>
      </c>
      <c r="M290">
        <v>68</v>
      </c>
      <c r="N290" s="6" t="str">
        <f t="shared" si="31"/>
        <v>Seniors</v>
      </c>
      <c r="O290" s="6" t="s">
        <v>25</v>
      </c>
      <c r="P290" s="6" t="s">
        <v>26</v>
      </c>
      <c r="Q290" t="s">
        <v>1147</v>
      </c>
      <c r="R290" s="6" t="s">
        <v>38</v>
      </c>
      <c r="S290" s="6" t="s">
        <v>62</v>
      </c>
      <c r="T290" s="14">
        <v>4.2700000000000002E-2</v>
      </c>
      <c r="U290">
        <v>4.2699999999999996</v>
      </c>
      <c r="V290" t="str">
        <f>IF(fin_table[[#This Row],[Interest Rate(%)]]&gt;4,"high","low")</f>
        <v>high</v>
      </c>
      <c r="W290" s="5">
        <v>26681.654999999999</v>
      </c>
      <c r="X290" s="5">
        <f>fin_table[[#This Row],[Interest Rate]]*fin_table[[#This Row],[Loan Amount]]</f>
        <v>1139.3066684999999</v>
      </c>
      <c r="Y290">
        <v>21</v>
      </c>
      <c r="Z290" s="3">
        <v>847</v>
      </c>
      <c r="AA290" s="3" t="str">
        <f t="shared" si="32"/>
        <v>Excellent</v>
      </c>
      <c r="AB290" s="3" cm="1">
        <f t="array" ref="AB290">_xlfn.IFS(fin_table[[#This Row],[Transaction Status]]="Failed", 1, fin_table[[#This Row],[Transaction Status]]="Completed",0,fin_table[[#This Row],[Transaction Status]]="Pending",2)</f>
        <v>2</v>
      </c>
      <c r="AC290" s="3" t="str">
        <f>IF(fin_table[[#This Row],[Loan Defaulters]]=1,"Default", "Good")</f>
        <v>Good</v>
      </c>
      <c r="AD290" s="3">
        <f t="shared" si="33"/>
        <v>5</v>
      </c>
      <c r="AE290" s="4">
        <v>4259.3900000000003</v>
      </c>
      <c r="AF290" s="4" t="str">
        <f>IF(fin_table[[#This Row],[Monthly Income]]&lt;3000, "Low Income", IF(fin_table[[#This Row],[Monthly Income]]&lt;=5000, "Middle Income", "High Income"))</f>
        <v>Middle Income</v>
      </c>
      <c r="AG290" t="s">
        <v>63</v>
      </c>
      <c r="AH290" t="s">
        <v>3635</v>
      </c>
      <c r="AI290" t="str">
        <f t="shared" si="34"/>
        <v>Low-Risk</v>
      </c>
    </row>
    <row r="291" spans="1:35" x14ac:dyDescent="0.35">
      <c r="A291" t="s">
        <v>1148</v>
      </c>
      <c r="B291" t="s">
        <v>1149</v>
      </c>
      <c r="C291" t="s">
        <v>1150</v>
      </c>
      <c r="D291" s="1">
        <v>45083</v>
      </c>
      <c r="E291" s="1" t="str">
        <f t="shared" si="28"/>
        <v>06</v>
      </c>
      <c r="F291" s="1" t="str">
        <f t="shared" si="29"/>
        <v>Jun</v>
      </c>
      <c r="G291" s="6" t="s">
        <v>71</v>
      </c>
      <c r="H291" s="5">
        <v>3851.21</v>
      </c>
      <c r="I291" s="5" t="str">
        <f>IF(fin_table[[#This Row],[Account Balance]]&lt;20000,"Active", "Not Active")</f>
        <v>Not Active</v>
      </c>
      <c r="J291" s="5">
        <v>40822.97</v>
      </c>
      <c r="K291" s="5" t="str">
        <f t="shared" si="30"/>
        <v>Medium</v>
      </c>
      <c r="L291" s="6" t="s">
        <v>49</v>
      </c>
      <c r="M291">
        <v>67</v>
      </c>
      <c r="N291" s="6" t="str">
        <f t="shared" si="31"/>
        <v>Seniors</v>
      </c>
      <c r="O291" s="6" t="s">
        <v>25</v>
      </c>
      <c r="P291" s="6" t="s">
        <v>50</v>
      </c>
      <c r="Q291" t="s">
        <v>292</v>
      </c>
      <c r="R291" s="6" t="s">
        <v>28</v>
      </c>
      <c r="S291" s="6" t="s">
        <v>29</v>
      </c>
      <c r="T291" s="14">
        <v>4.7300000000000002E-2</v>
      </c>
      <c r="U291">
        <v>4.7300000000000004</v>
      </c>
      <c r="V291" t="str">
        <f>IF(fin_table[[#This Row],[Interest Rate(%)]]&gt;4,"high","low")</f>
        <v>high</v>
      </c>
      <c r="W291" s="5">
        <v>43478.99</v>
      </c>
      <c r="X291" s="5">
        <f>fin_table[[#This Row],[Interest Rate]]*fin_table[[#This Row],[Loan Amount]]</f>
        <v>2056.556227</v>
      </c>
      <c r="Y291">
        <v>1</v>
      </c>
      <c r="Z291" s="3">
        <v>425</v>
      </c>
      <c r="AA291" s="3" t="str">
        <f t="shared" si="32"/>
        <v>Poor</v>
      </c>
      <c r="AB291" s="3" cm="1">
        <f t="array" ref="AB291">_xlfn.IFS(fin_table[[#This Row],[Transaction Status]]="Failed", 1, fin_table[[#This Row],[Transaction Status]]="Completed",0,fin_table[[#This Row],[Transaction Status]]="Pending",2)</f>
        <v>1</v>
      </c>
      <c r="AC291" s="3" t="str">
        <f>IF(fin_table[[#This Row],[Loan Defaulters]]=1,"Default", "Good")</f>
        <v>Default</v>
      </c>
      <c r="AD291" s="3">
        <f t="shared" si="33"/>
        <v>1</v>
      </c>
      <c r="AE291" s="4">
        <v>2829.74</v>
      </c>
      <c r="AF291" s="4" t="str">
        <f>IF(fin_table[[#This Row],[Monthly Income]]&lt;3000, "Low Income", IF(fin_table[[#This Row],[Monthly Income]]&lt;=5000, "Middle Income", "High Income"))</f>
        <v>Low Income</v>
      </c>
      <c r="AG291" t="s">
        <v>45</v>
      </c>
      <c r="AH291" t="s">
        <v>3636</v>
      </c>
      <c r="AI291" t="str">
        <f t="shared" si="34"/>
        <v>High-Risk</v>
      </c>
    </row>
    <row r="292" spans="1:35" x14ac:dyDescent="0.35">
      <c r="A292" t="s">
        <v>1151</v>
      </c>
      <c r="B292" t="s">
        <v>1152</v>
      </c>
      <c r="C292" t="s">
        <v>1153</v>
      </c>
      <c r="D292" s="1">
        <v>44895</v>
      </c>
      <c r="E292" s="1" t="str">
        <f t="shared" si="28"/>
        <v>30</v>
      </c>
      <c r="F292" s="1" t="str">
        <f t="shared" si="29"/>
        <v>Nov</v>
      </c>
      <c r="G292" s="6" t="s">
        <v>71</v>
      </c>
      <c r="H292" s="5">
        <v>166.43</v>
      </c>
      <c r="I292" s="5" t="str">
        <f>IF(fin_table[[#This Row],[Account Balance]]&lt;20000,"Active", "Not Active")</f>
        <v>Not Active</v>
      </c>
      <c r="J292" s="5">
        <v>35635.050000000003</v>
      </c>
      <c r="K292" s="5" t="str">
        <f t="shared" si="30"/>
        <v>Medium</v>
      </c>
      <c r="L292" s="6" t="s">
        <v>125</v>
      </c>
      <c r="M292">
        <v>35</v>
      </c>
      <c r="N292" s="6" t="str">
        <f t="shared" si="31"/>
        <v>Adults</v>
      </c>
      <c r="O292" s="6" t="s">
        <v>42</v>
      </c>
      <c r="P292" s="6" t="s">
        <v>36</v>
      </c>
      <c r="Q292" t="s">
        <v>1154</v>
      </c>
      <c r="R292" s="6" t="s">
        <v>38</v>
      </c>
      <c r="S292" s="6" t="s">
        <v>62</v>
      </c>
      <c r="T292" s="14">
        <v>4.7500000000000001E-2</v>
      </c>
      <c r="U292">
        <v>4.75</v>
      </c>
      <c r="V292" t="str">
        <f>IF(fin_table[[#This Row],[Interest Rate(%)]]&gt;4,"high","low")</f>
        <v>high</v>
      </c>
      <c r="W292" s="5">
        <v>34617.31</v>
      </c>
      <c r="X292" s="5">
        <f>fin_table[[#This Row],[Interest Rate]]*fin_table[[#This Row],[Loan Amount]]</f>
        <v>1644.3222249999999</v>
      </c>
      <c r="Y292">
        <v>13</v>
      </c>
      <c r="Z292" s="3">
        <v>362</v>
      </c>
      <c r="AA292" s="3" t="str">
        <f t="shared" si="32"/>
        <v>Poor</v>
      </c>
      <c r="AB292" s="3" cm="1">
        <f t="array" ref="AB292">_xlfn.IFS(fin_table[[#This Row],[Transaction Status]]="Failed", 1, fin_table[[#This Row],[Transaction Status]]="Completed",0,fin_table[[#This Row],[Transaction Status]]="Pending",2)</f>
        <v>2</v>
      </c>
      <c r="AC292" s="3" t="str">
        <f>IF(fin_table[[#This Row],[Loan Defaulters]]=1,"Default", "Good")</f>
        <v>Good</v>
      </c>
      <c r="AD292" s="3">
        <f t="shared" si="33"/>
        <v>1</v>
      </c>
      <c r="AE292" s="4">
        <v>6294.65</v>
      </c>
      <c r="AF292" s="4" t="str">
        <f>IF(fin_table[[#This Row],[Monthly Income]]&lt;3000, "Low Income", IF(fin_table[[#This Row],[Monthly Income]]&lt;=5000, "Middle Income", "High Income"))</f>
        <v>High Income</v>
      </c>
      <c r="AG292" t="s">
        <v>45</v>
      </c>
      <c r="AH292" t="s">
        <v>3636</v>
      </c>
      <c r="AI292" t="str">
        <f t="shared" si="34"/>
        <v>High-Risk</v>
      </c>
    </row>
    <row r="293" spans="1:35" x14ac:dyDescent="0.35">
      <c r="A293" t="s">
        <v>1155</v>
      </c>
      <c r="B293" t="s">
        <v>1156</v>
      </c>
      <c r="C293" t="s">
        <v>1157</v>
      </c>
      <c r="D293" s="1">
        <v>45048</v>
      </c>
      <c r="E293" s="1" t="str">
        <f t="shared" si="28"/>
        <v>02</v>
      </c>
      <c r="F293" s="1" t="str">
        <f t="shared" si="29"/>
        <v>May</v>
      </c>
      <c r="G293" s="6" t="s">
        <v>34</v>
      </c>
      <c r="H293" s="5">
        <v>3920.16</v>
      </c>
      <c r="I293" s="5" t="str">
        <f>IF(fin_table[[#This Row],[Account Balance]]&lt;20000,"Active", "Not Active")</f>
        <v>Not Active</v>
      </c>
      <c r="J293" s="5">
        <v>48395.92</v>
      </c>
      <c r="K293" s="5" t="str">
        <f t="shared" si="30"/>
        <v>Medium</v>
      </c>
      <c r="L293" s="6" t="s">
        <v>24</v>
      </c>
      <c r="M293">
        <v>63</v>
      </c>
      <c r="N293" s="6" t="str">
        <f t="shared" si="31"/>
        <v>Seniors</v>
      </c>
      <c r="O293" s="6" t="s">
        <v>25</v>
      </c>
      <c r="P293" s="6" t="s">
        <v>36</v>
      </c>
      <c r="Q293" t="s">
        <v>57</v>
      </c>
      <c r="R293" s="6" t="s">
        <v>52</v>
      </c>
      <c r="S293" s="6" t="s">
        <v>44</v>
      </c>
      <c r="T293" s="14">
        <v>4.6600000000000003E-2</v>
      </c>
      <c r="U293">
        <v>4.66</v>
      </c>
      <c r="V293" t="str">
        <f>IF(fin_table[[#This Row],[Interest Rate(%)]]&gt;4,"high","low")</f>
        <v>high</v>
      </c>
      <c r="W293" s="5">
        <v>24549.05</v>
      </c>
      <c r="X293" s="5">
        <f>fin_table[[#This Row],[Interest Rate]]*fin_table[[#This Row],[Loan Amount]]</f>
        <v>1143.9857300000001</v>
      </c>
      <c r="Y293">
        <v>7</v>
      </c>
      <c r="Z293" s="3">
        <v>381</v>
      </c>
      <c r="AA293" s="3" t="str">
        <f t="shared" si="32"/>
        <v>Poor</v>
      </c>
      <c r="AB293" s="3" cm="1">
        <f t="array" ref="AB293">_xlfn.IFS(fin_table[[#This Row],[Transaction Status]]="Failed", 1, fin_table[[#This Row],[Transaction Status]]="Completed",0,fin_table[[#This Row],[Transaction Status]]="Pending",2)</f>
        <v>0</v>
      </c>
      <c r="AC293" s="3" t="str">
        <f>IF(fin_table[[#This Row],[Loan Defaulters]]=1,"Default", "Good")</f>
        <v>Good</v>
      </c>
      <c r="AD293" s="3">
        <f t="shared" si="33"/>
        <v>1</v>
      </c>
      <c r="AE293" s="4">
        <v>5004.82</v>
      </c>
      <c r="AF293" s="4" t="str">
        <f>IF(fin_table[[#This Row],[Monthly Income]]&lt;3000, "Low Income", IF(fin_table[[#This Row],[Monthly Income]]&lt;=5000, "Middle Income", "High Income"))</f>
        <v>High Income</v>
      </c>
      <c r="AG293" t="s">
        <v>45</v>
      </c>
      <c r="AH293" t="s">
        <v>3636</v>
      </c>
      <c r="AI293" t="str">
        <f t="shared" si="34"/>
        <v>Low-Risk</v>
      </c>
    </row>
    <row r="294" spans="1:35" x14ac:dyDescent="0.35">
      <c r="A294" t="s">
        <v>1158</v>
      </c>
      <c r="B294" t="s">
        <v>1159</v>
      </c>
      <c r="C294" t="s">
        <v>1160</v>
      </c>
      <c r="D294" s="1">
        <v>44615</v>
      </c>
      <c r="E294" s="1" t="str">
        <f t="shared" si="28"/>
        <v>23</v>
      </c>
      <c r="F294" s="1" t="str">
        <f t="shared" si="29"/>
        <v>Feb</v>
      </c>
      <c r="G294" s="6" t="s">
        <v>71</v>
      </c>
      <c r="H294" s="5">
        <v>7938.03</v>
      </c>
      <c r="I294" s="5" t="str">
        <f>IF(fin_table[[#This Row],[Account Balance]]&lt;20000,"Active", "Not Active")</f>
        <v>Not Active</v>
      </c>
      <c r="J294" s="5">
        <v>41505.949999999997</v>
      </c>
      <c r="K294" s="5" t="str">
        <f t="shared" si="30"/>
        <v>Medium</v>
      </c>
      <c r="L294" s="6" t="s">
        <v>125</v>
      </c>
      <c r="M294">
        <v>41</v>
      </c>
      <c r="N294" s="6" t="str">
        <f t="shared" si="31"/>
        <v>Middle-Aged</v>
      </c>
      <c r="O294" s="6" t="s">
        <v>42</v>
      </c>
      <c r="P294" s="6" t="s">
        <v>36</v>
      </c>
      <c r="Q294" t="s">
        <v>1161</v>
      </c>
      <c r="R294" s="6" t="s">
        <v>52</v>
      </c>
      <c r="S294" s="6" t="s">
        <v>62</v>
      </c>
      <c r="T294" s="14">
        <v>3.1899999999999998E-2</v>
      </c>
      <c r="U294">
        <v>3.19</v>
      </c>
      <c r="V294" t="str">
        <f>IF(fin_table[[#This Row],[Interest Rate(%)]]&gt;4,"high","low")</f>
        <v>low</v>
      </c>
      <c r="W294" s="5">
        <v>20589.48</v>
      </c>
      <c r="X294" s="5">
        <f>fin_table[[#This Row],[Interest Rate]]*fin_table[[#This Row],[Loan Amount]]</f>
        <v>656.80441199999996</v>
      </c>
      <c r="Y294">
        <v>13</v>
      </c>
      <c r="Z294" s="3">
        <v>598</v>
      </c>
      <c r="AA294" s="3" t="str">
        <f t="shared" si="32"/>
        <v>Fair</v>
      </c>
      <c r="AB294" s="3" cm="1">
        <f t="array" ref="AB294">_xlfn.IFS(fin_table[[#This Row],[Transaction Status]]="Failed", 1, fin_table[[#This Row],[Transaction Status]]="Completed",0,fin_table[[#This Row],[Transaction Status]]="Pending",2)</f>
        <v>2</v>
      </c>
      <c r="AC294" s="3" t="str">
        <f>IF(fin_table[[#This Row],[Loan Defaulters]]=1,"Default", "Good")</f>
        <v>Good</v>
      </c>
      <c r="AD294" s="3">
        <f t="shared" si="33"/>
        <v>2</v>
      </c>
      <c r="AE294" s="4">
        <v>13556.89</v>
      </c>
      <c r="AF294" s="4" t="str">
        <f>IF(fin_table[[#This Row],[Monthly Income]]&lt;3000, "Low Income", IF(fin_table[[#This Row],[Monthly Income]]&lt;=5000, "Middle Income", "High Income"))</f>
        <v>High Income</v>
      </c>
      <c r="AG294" t="s">
        <v>30</v>
      </c>
      <c r="AH294" t="s">
        <v>3636</v>
      </c>
      <c r="AI294" t="str">
        <f t="shared" si="34"/>
        <v>Low-Risk</v>
      </c>
    </row>
    <row r="295" spans="1:35" x14ac:dyDescent="0.35">
      <c r="A295" t="s">
        <v>1162</v>
      </c>
      <c r="B295" t="s">
        <v>1163</v>
      </c>
      <c r="C295" t="s">
        <v>1164</v>
      </c>
      <c r="D295" s="1">
        <v>44897</v>
      </c>
      <c r="E295" s="1" t="str">
        <f t="shared" si="28"/>
        <v>02</v>
      </c>
      <c r="F295" s="1" t="str">
        <f t="shared" si="29"/>
        <v>Dec</v>
      </c>
      <c r="G295" s="6" t="s">
        <v>71</v>
      </c>
      <c r="H295" s="5">
        <v>6000.29</v>
      </c>
      <c r="I295" s="5" t="str">
        <f>IF(fin_table[[#This Row],[Account Balance]]&lt;20000,"Active", "Not Active")</f>
        <v>Not Active</v>
      </c>
      <c r="J295" s="5">
        <v>45251.59</v>
      </c>
      <c r="K295" s="5" t="str">
        <f t="shared" si="30"/>
        <v>Medium</v>
      </c>
      <c r="L295" s="6" t="s">
        <v>49</v>
      </c>
      <c r="M295">
        <v>25</v>
      </c>
      <c r="N295" s="6" t="str">
        <f t="shared" si="31"/>
        <v>Young Adults</v>
      </c>
      <c r="O295" s="6" t="s">
        <v>25</v>
      </c>
      <c r="P295" s="6" t="s">
        <v>26</v>
      </c>
      <c r="Q295" t="s">
        <v>272</v>
      </c>
      <c r="R295" s="6" t="s">
        <v>38</v>
      </c>
      <c r="S295" s="6" t="s">
        <v>62</v>
      </c>
      <c r="T295" s="14">
        <v>2.4199999999999999E-2</v>
      </c>
      <c r="U295">
        <v>2.42</v>
      </c>
      <c r="V295" t="str">
        <f>IF(fin_table[[#This Row],[Interest Rate(%)]]&gt;4,"high","low")</f>
        <v>low</v>
      </c>
      <c r="W295" s="5">
        <v>5866.2</v>
      </c>
      <c r="X295" s="5">
        <f>fin_table[[#This Row],[Interest Rate]]*fin_table[[#This Row],[Loan Amount]]</f>
        <v>141.96204</v>
      </c>
      <c r="Y295">
        <v>13</v>
      </c>
      <c r="Z295" s="3">
        <v>333</v>
      </c>
      <c r="AA295" s="3" t="str">
        <f t="shared" si="32"/>
        <v>Poor</v>
      </c>
      <c r="AB295" s="3" cm="1">
        <f t="array" ref="AB295">_xlfn.IFS(fin_table[[#This Row],[Transaction Status]]="Failed", 1, fin_table[[#This Row],[Transaction Status]]="Completed",0,fin_table[[#This Row],[Transaction Status]]="Pending",2)</f>
        <v>2</v>
      </c>
      <c r="AC295" s="3" t="str">
        <f>IF(fin_table[[#This Row],[Loan Defaulters]]=1,"Default", "Good")</f>
        <v>Good</v>
      </c>
      <c r="AD295" s="3">
        <f t="shared" si="33"/>
        <v>1</v>
      </c>
      <c r="AE295" s="4">
        <v>2714.39</v>
      </c>
      <c r="AF295" s="4" t="str">
        <f>IF(fin_table[[#This Row],[Monthly Income]]&lt;3000, "Low Income", IF(fin_table[[#This Row],[Monthly Income]]&lt;=5000, "Middle Income", "High Income"))</f>
        <v>Low Income</v>
      </c>
      <c r="AG295" t="s">
        <v>45</v>
      </c>
      <c r="AH295" t="s">
        <v>3636</v>
      </c>
      <c r="AI295" t="str">
        <f t="shared" si="34"/>
        <v>Low-Risk</v>
      </c>
    </row>
    <row r="296" spans="1:35" x14ac:dyDescent="0.35">
      <c r="A296" t="s">
        <v>1165</v>
      </c>
      <c r="B296" t="s">
        <v>1166</v>
      </c>
      <c r="C296" t="s">
        <v>1167</v>
      </c>
      <c r="D296" s="1">
        <v>45005</v>
      </c>
      <c r="E296" s="1" t="str">
        <f t="shared" si="28"/>
        <v>20</v>
      </c>
      <c r="F296" s="1" t="str">
        <f t="shared" si="29"/>
        <v>Mar</v>
      </c>
      <c r="G296" s="6" t="s">
        <v>23</v>
      </c>
      <c r="H296" s="5">
        <v>1102.47</v>
      </c>
      <c r="I296" s="5" t="str">
        <f>IF(fin_table[[#This Row],[Account Balance]]&lt;20000,"Active", "Not Active")</f>
        <v>Not Active</v>
      </c>
      <c r="J296" s="5">
        <v>46744.98</v>
      </c>
      <c r="K296" s="5" t="str">
        <f t="shared" si="30"/>
        <v>Medium</v>
      </c>
      <c r="L296" s="6" t="s">
        <v>24</v>
      </c>
      <c r="M296">
        <v>47</v>
      </c>
      <c r="N296" s="6" t="str">
        <f t="shared" si="31"/>
        <v>Older Adults</v>
      </c>
      <c r="O296" s="6" t="s">
        <v>42</v>
      </c>
      <c r="P296" s="6" t="s">
        <v>26</v>
      </c>
      <c r="Q296" t="s">
        <v>1168</v>
      </c>
      <c r="R296" s="6" t="s">
        <v>38</v>
      </c>
      <c r="S296" s="6" t="s">
        <v>29</v>
      </c>
      <c r="T296" s="14">
        <v>1.03E-2</v>
      </c>
      <c r="U296">
        <v>1.03</v>
      </c>
      <c r="V296" t="str">
        <f>IF(fin_table[[#This Row],[Interest Rate(%)]]&gt;4,"high","low")</f>
        <v>low</v>
      </c>
      <c r="W296" s="5">
        <v>42134.67</v>
      </c>
      <c r="X296" s="5">
        <f>fin_table[[#This Row],[Interest Rate]]*fin_table[[#This Row],[Loan Amount]]</f>
        <v>433.987101</v>
      </c>
      <c r="Y296">
        <v>13</v>
      </c>
      <c r="Z296" s="3">
        <v>348</v>
      </c>
      <c r="AA296" s="3" t="str">
        <f t="shared" si="32"/>
        <v>Poor</v>
      </c>
      <c r="AB296" s="3" cm="1">
        <f t="array" ref="AB296">_xlfn.IFS(fin_table[[#This Row],[Transaction Status]]="Failed", 1, fin_table[[#This Row],[Transaction Status]]="Completed",0,fin_table[[#This Row],[Transaction Status]]="Pending",2)</f>
        <v>1</v>
      </c>
      <c r="AC296" s="3" t="str">
        <f>IF(fin_table[[#This Row],[Loan Defaulters]]=1,"Default", "Good")</f>
        <v>Default</v>
      </c>
      <c r="AD296" s="3">
        <f t="shared" si="33"/>
        <v>1</v>
      </c>
      <c r="AE296" s="4">
        <v>4295.9799999999996</v>
      </c>
      <c r="AF296" s="4" t="str">
        <f>IF(fin_table[[#This Row],[Monthly Income]]&lt;3000, "Low Income", IF(fin_table[[#This Row],[Monthly Income]]&lt;=5000, "Middle Income", "High Income"))</f>
        <v>Middle Income</v>
      </c>
      <c r="AG296" t="s">
        <v>45</v>
      </c>
      <c r="AH296" t="s">
        <v>3636</v>
      </c>
      <c r="AI296" t="str">
        <f t="shared" si="34"/>
        <v>High-Risk</v>
      </c>
    </row>
    <row r="297" spans="1:35" x14ac:dyDescent="0.35">
      <c r="A297" t="s">
        <v>1169</v>
      </c>
      <c r="B297" t="s">
        <v>1170</v>
      </c>
      <c r="C297" t="s">
        <v>1171</v>
      </c>
      <c r="D297" s="1">
        <v>44692</v>
      </c>
      <c r="E297" s="1" t="str">
        <f t="shared" si="28"/>
        <v>11</v>
      </c>
      <c r="F297" s="1" t="str">
        <f t="shared" si="29"/>
        <v>May</v>
      </c>
      <c r="G297" s="6" t="s">
        <v>23</v>
      </c>
      <c r="H297" s="5">
        <v>8486.68</v>
      </c>
      <c r="I297" s="5" t="str">
        <f>IF(fin_table[[#This Row],[Account Balance]]&lt;20000,"Active", "Not Active")</f>
        <v>Not Active</v>
      </c>
      <c r="J297" s="5">
        <v>40266.050000000003</v>
      </c>
      <c r="K297" s="5" t="str">
        <f t="shared" si="30"/>
        <v>Medium</v>
      </c>
      <c r="L297" s="6" t="s">
        <v>100</v>
      </c>
      <c r="M297">
        <v>61</v>
      </c>
      <c r="N297" s="6" t="str">
        <f t="shared" si="31"/>
        <v>Seniors</v>
      </c>
      <c r="O297" s="6" t="s">
        <v>42</v>
      </c>
      <c r="P297" s="6" t="s">
        <v>36</v>
      </c>
      <c r="Q297" t="s">
        <v>1128</v>
      </c>
      <c r="R297" s="6" t="s">
        <v>38</v>
      </c>
      <c r="S297" s="6" t="s">
        <v>62</v>
      </c>
      <c r="T297" s="14">
        <v>1.24E-2</v>
      </c>
      <c r="U297">
        <v>1.24</v>
      </c>
      <c r="V297" t="str">
        <f>IF(fin_table[[#This Row],[Interest Rate(%)]]&gt;4,"high","low")</f>
        <v>low</v>
      </c>
      <c r="W297" s="5">
        <v>26681.654999999999</v>
      </c>
      <c r="X297" s="5">
        <f>fin_table[[#This Row],[Interest Rate]]*fin_table[[#This Row],[Loan Amount]]</f>
        <v>330.85252199999996</v>
      </c>
      <c r="Y297">
        <v>18</v>
      </c>
      <c r="Z297" s="3">
        <v>356</v>
      </c>
      <c r="AA297" s="3" t="str">
        <f t="shared" si="32"/>
        <v>Poor</v>
      </c>
      <c r="AB297" s="3" cm="1">
        <f t="array" ref="AB297">_xlfn.IFS(fin_table[[#This Row],[Transaction Status]]="Failed", 1, fin_table[[#This Row],[Transaction Status]]="Completed",0,fin_table[[#This Row],[Transaction Status]]="Pending",2)</f>
        <v>2</v>
      </c>
      <c r="AC297" s="3" t="str">
        <f>IF(fin_table[[#This Row],[Loan Defaulters]]=1,"Default", "Good")</f>
        <v>Good</v>
      </c>
      <c r="AD297" s="3">
        <f t="shared" si="33"/>
        <v>1</v>
      </c>
      <c r="AE297" s="4">
        <v>9133.35</v>
      </c>
      <c r="AF297" s="4" t="str">
        <f>IF(fin_table[[#This Row],[Monthly Income]]&lt;3000, "Low Income", IF(fin_table[[#This Row],[Monthly Income]]&lt;=5000, "Middle Income", "High Income"))</f>
        <v>High Income</v>
      </c>
      <c r="AG297" t="s">
        <v>45</v>
      </c>
      <c r="AH297" t="s">
        <v>3635</v>
      </c>
      <c r="AI297" t="str">
        <f t="shared" si="34"/>
        <v>Low-Risk</v>
      </c>
    </row>
    <row r="298" spans="1:35" x14ac:dyDescent="0.35">
      <c r="A298" t="s">
        <v>1172</v>
      </c>
      <c r="B298" t="s">
        <v>1173</v>
      </c>
      <c r="C298" t="s">
        <v>1174</v>
      </c>
      <c r="D298" s="1">
        <v>44799</v>
      </c>
      <c r="E298" s="1" t="str">
        <f t="shared" si="28"/>
        <v>26</v>
      </c>
      <c r="F298" s="1" t="str">
        <f t="shared" si="29"/>
        <v>Aug</v>
      </c>
      <c r="G298" s="6" t="s">
        <v>71</v>
      </c>
      <c r="H298" s="5">
        <v>5357.74</v>
      </c>
      <c r="I298" s="5" t="str">
        <f>IF(fin_table[[#This Row],[Account Balance]]&lt;20000,"Active", "Not Active")</f>
        <v>Not Active</v>
      </c>
      <c r="J298" s="5">
        <v>34038.68</v>
      </c>
      <c r="K298" s="5" t="str">
        <f t="shared" si="30"/>
        <v>Medium</v>
      </c>
      <c r="L298" s="6" t="s">
        <v>49</v>
      </c>
      <c r="M298">
        <v>27</v>
      </c>
      <c r="N298" s="6" t="str">
        <f t="shared" si="31"/>
        <v>Adults</v>
      </c>
      <c r="O298" s="6" t="s">
        <v>42</v>
      </c>
      <c r="P298" s="6" t="s">
        <v>36</v>
      </c>
      <c r="Q298" t="s">
        <v>739</v>
      </c>
      <c r="R298" s="6" t="s">
        <v>52</v>
      </c>
      <c r="S298" s="6" t="s">
        <v>29</v>
      </c>
      <c r="T298" s="14">
        <v>2.7199999999999998E-2</v>
      </c>
      <c r="U298">
        <v>2.72</v>
      </c>
      <c r="V298" t="str">
        <f>IF(fin_table[[#This Row],[Interest Rate(%)]]&gt;4,"high","low")</f>
        <v>low</v>
      </c>
      <c r="W298" s="5">
        <v>18929.39</v>
      </c>
      <c r="X298" s="5">
        <f>fin_table[[#This Row],[Interest Rate]]*fin_table[[#This Row],[Loan Amount]]</f>
        <v>514.87940800000001</v>
      </c>
      <c r="Y298">
        <v>13</v>
      </c>
      <c r="Z298" s="3">
        <v>408</v>
      </c>
      <c r="AA298" s="3" t="str">
        <f t="shared" si="32"/>
        <v>Poor</v>
      </c>
      <c r="AB298" s="3" cm="1">
        <f t="array" ref="AB298">_xlfn.IFS(fin_table[[#This Row],[Transaction Status]]="Failed", 1, fin_table[[#This Row],[Transaction Status]]="Completed",0,fin_table[[#This Row],[Transaction Status]]="Pending",2)</f>
        <v>1</v>
      </c>
      <c r="AC298" s="3" t="str">
        <f>IF(fin_table[[#This Row],[Loan Defaulters]]=1,"Default", "Good")</f>
        <v>Default</v>
      </c>
      <c r="AD298" s="3">
        <f t="shared" si="33"/>
        <v>1</v>
      </c>
      <c r="AE298" s="4">
        <v>8253.8700000000008</v>
      </c>
      <c r="AF298" s="4" t="str">
        <f>IF(fin_table[[#This Row],[Monthly Income]]&lt;3000, "Low Income", IF(fin_table[[#This Row],[Monthly Income]]&lt;=5000, "Middle Income", "High Income"))</f>
        <v>High Income</v>
      </c>
      <c r="AG298" t="s">
        <v>30</v>
      </c>
      <c r="AH298" t="s">
        <v>3636</v>
      </c>
      <c r="AI298" t="str">
        <f t="shared" si="34"/>
        <v>Low-Risk</v>
      </c>
    </row>
    <row r="299" spans="1:35" x14ac:dyDescent="0.35">
      <c r="A299" t="s">
        <v>1175</v>
      </c>
      <c r="B299" t="s">
        <v>1176</v>
      </c>
      <c r="C299" t="s">
        <v>1177</v>
      </c>
      <c r="D299" s="1">
        <v>44864</v>
      </c>
      <c r="E299" s="1" t="str">
        <f t="shared" si="28"/>
        <v>30</v>
      </c>
      <c r="F299" s="1" t="str">
        <f t="shared" si="29"/>
        <v>Oct</v>
      </c>
      <c r="G299" s="6" t="s">
        <v>56</v>
      </c>
      <c r="H299" s="5">
        <v>8433.06</v>
      </c>
      <c r="I299" s="5" t="str">
        <f>IF(fin_table[[#This Row],[Account Balance]]&lt;20000,"Active", "Not Active")</f>
        <v>Active</v>
      </c>
      <c r="J299" s="5">
        <v>1280.21</v>
      </c>
      <c r="K299" s="5" t="str">
        <f t="shared" si="30"/>
        <v>Low</v>
      </c>
      <c r="L299" s="6" t="s">
        <v>35</v>
      </c>
      <c r="M299">
        <v>40</v>
      </c>
      <c r="N299" s="6" t="str">
        <f t="shared" si="31"/>
        <v>Middle-Aged</v>
      </c>
      <c r="O299" s="6" t="s">
        <v>42</v>
      </c>
      <c r="P299" s="6" t="s">
        <v>36</v>
      </c>
      <c r="Q299" t="s">
        <v>1178</v>
      </c>
      <c r="R299" s="6" t="s">
        <v>52</v>
      </c>
      <c r="S299" s="6" t="s">
        <v>44</v>
      </c>
      <c r="T299" s="14">
        <v>2.5999999999999999E-2</v>
      </c>
      <c r="U299">
        <v>2.5999999999999999E-2</v>
      </c>
      <c r="V299" t="str">
        <f>IF(fin_table[[#This Row],[Interest Rate(%)]]&gt;4,"high","low")</f>
        <v>low</v>
      </c>
      <c r="W299" s="5">
        <v>26681.654999999999</v>
      </c>
      <c r="X299" s="5">
        <f>fin_table[[#This Row],[Interest Rate]]*fin_table[[#This Row],[Loan Amount]]</f>
        <v>693.72302999999999</v>
      </c>
      <c r="Y299">
        <v>15</v>
      </c>
      <c r="Z299" s="3">
        <v>816</v>
      </c>
      <c r="AA299" s="3" t="str">
        <f t="shared" si="32"/>
        <v>Excellent</v>
      </c>
      <c r="AB299" s="3" cm="1">
        <f t="array" ref="AB299">_xlfn.IFS(fin_table[[#This Row],[Transaction Status]]="Failed", 1, fin_table[[#This Row],[Transaction Status]]="Completed",0,fin_table[[#This Row],[Transaction Status]]="Pending",2)</f>
        <v>0</v>
      </c>
      <c r="AC299" s="3" t="str">
        <f>IF(fin_table[[#This Row],[Loan Defaulters]]=1,"Default", "Good")</f>
        <v>Good</v>
      </c>
      <c r="AD299" s="3">
        <f t="shared" si="33"/>
        <v>5</v>
      </c>
      <c r="AE299" s="4">
        <v>2596.08</v>
      </c>
      <c r="AF299" s="4" t="str">
        <f>IF(fin_table[[#This Row],[Monthly Income]]&lt;3000, "Low Income", IF(fin_table[[#This Row],[Monthly Income]]&lt;=5000, "Middle Income", "High Income"))</f>
        <v>Low Income</v>
      </c>
      <c r="AG299" t="s">
        <v>63</v>
      </c>
      <c r="AH299" t="s">
        <v>3635</v>
      </c>
      <c r="AI299" t="str">
        <f t="shared" si="34"/>
        <v>Low-Risk</v>
      </c>
    </row>
    <row r="300" spans="1:35" x14ac:dyDescent="0.35">
      <c r="A300" t="s">
        <v>1179</v>
      </c>
      <c r="B300" t="s">
        <v>1180</v>
      </c>
      <c r="C300" t="s">
        <v>1181</v>
      </c>
      <c r="D300" s="1">
        <v>44666</v>
      </c>
      <c r="E300" s="1" t="str">
        <f t="shared" si="28"/>
        <v>15</v>
      </c>
      <c r="F300" s="1" t="str">
        <f t="shared" si="29"/>
        <v>Apr</v>
      </c>
      <c r="G300" s="6" t="s">
        <v>71</v>
      </c>
      <c r="H300" s="5">
        <v>5844.19</v>
      </c>
      <c r="I300" s="5" t="str">
        <f>IF(fin_table[[#This Row],[Account Balance]]&lt;20000,"Active", "Not Active")</f>
        <v>Not Active</v>
      </c>
      <c r="J300" s="5">
        <v>23825.46</v>
      </c>
      <c r="K300" s="5" t="str">
        <f t="shared" si="30"/>
        <v>Medium</v>
      </c>
      <c r="L300" s="6" t="s">
        <v>49</v>
      </c>
      <c r="M300">
        <v>69</v>
      </c>
      <c r="N300" s="6" t="str">
        <f t="shared" si="31"/>
        <v>Seniors</v>
      </c>
      <c r="O300" s="6" t="s">
        <v>42</v>
      </c>
      <c r="P300" s="6" t="s">
        <v>36</v>
      </c>
      <c r="Q300" t="s">
        <v>1182</v>
      </c>
      <c r="R300" s="6" t="s">
        <v>28</v>
      </c>
      <c r="S300" s="6" t="s">
        <v>29</v>
      </c>
      <c r="T300" s="14">
        <v>1.7399999999999999E-2</v>
      </c>
      <c r="U300">
        <v>1.74</v>
      </c>
      <c r="V300" t="str">
        <f>IF(fin_table[[#This Row],[Interest Rate(%)]]&gt;4,"high","low")</f>
        <v>low</v>
      </c>
      <c r="W300" s="5">
        <v>26681.654999999999</v>
      </c>
      <c r="X300" s="5">
        <f>fin_table[[#This Row],[Interest Rate]]*fin_table[[#This Row],[Loan Amount]]</f>
        <v>464.26079699999997</v>
      </c>
      <c r="Y300">
        <v>13</v>
      </c>
      <c r="Z300" s="3">
        <v>323</v>
      </c>
      <c r="AA300" s="3" t="str">
        <f t="shared" si="32"/>
        <v>Poor</v>
      </c>
      <c r="AB300" s="3" cm="1">
        <f t="array" ref="AB300">_xlfn.IFS(fin_table[[#This Row],[Transaction Status]]="Failed", 1, fin_table[[#This Row],[Transaction Status]]="Completed",0,fin_table[[#This Row],[Transaction Status]]="Pending",2)</f>
        <v>1</v>
      </c>
      <c r="AC300" s="3" t="str">
        <f>IF(fin_table[[#This Row],[Loan Defaulters]]=1,"Default", "Good")</f>
        <v>Default</v>
      </c>
      <c r="AD300" s="3">
        <f t="shared" si="33"/>
        <v>1</v>
      </c>
      <c r="AE300" s="4">
        <v>2094.2800000000002</v>
      </c>
      <c r="AF300" s="4" t="str">
        <f>IF(fin_table[[#This Row],[Monthly Income]]&lt;3000, "Low Income", IF(fin_table[[#This Row],[Monthly Income]]&lt;=5000, "Middle Income", "High Income"))</f>
        <v>Low Income</v>
      </c>
      <c r="AG300" t="s">
        <v>30</v>
      </c>
      <c r="AH300" t="s">
        <v>3635</v>
      </c>
      <c r="AI300" t="str">
        <f t="shared" si="34"/>
        <v>Low-Risk</v>
      </c>
    </row>
    <row r="301" spans="1:35" x14ac:dyDescent="0.35">
      <c r="A301" t="s">
        <v>1183</v>
      </c>
      <c r="B301" t="s">
        <v>1184</v>
      </c>
      <c r="C301" t="s">
        <v>1185</v>
      </c>
      <c r="D301" s="1">
        <v>44842</v>
      </c>
      <c r="E301" s="1" t="str">
        <f t="shared" si="28"/>
        <v>08</v>
      </c>
      <c r="F301" s="1" t="str">
        <f t="shared" si="29"/>
        <v>Oct</v>
      </c>
      <c r="G301" s="6" t="s">
        <v>23</v>
      </c>
      <c r="H301" s="5">
        <v>5640.92</v>
      </c>
      <c r="I301" s="5" t="str">
        <f>IF(fin_table[[#This Row],[Account Balance]]&lt;20000,"Active", "Not Active")</f>
        <v>Not Active</v>
      </c>
      <c r="J301" s="5">
        <v>28986.95</v>
      </c>
      <c r="K301" s="5" t="str">
        <f t="shared" si="30"/>
        <v>Medium</v>
      </c>
      <c r="L301" s="6" t="s">
        <v>24</v>
      </c>
      <c r="M301">
        <v>66</v>
      </c>
      <c r="N301" s="6" t="str">
        <f t="shared" si="31"/>
        <v>Seniors</v>
      </c>
      <c r="O301" s="6" t="s">
        <v>42</v>
      </c>
      <c r="P301" s="6" t="s">
        <v>36</v>
      </c>
      <c r="Q301" t="s">
        <v>645</v>
      </c>
      <c r="R301" s="6" t="s">
        <v>38</v>
      </c>
      <c r="S301" s="6" t="s">
        <v>62</v>
      </c>
      <c r="T301" s="14">
        <v>2.58E-2</v>
      </c>
      <c r="U301">
        <v>2.58</v>
      </c>
      <c r="V301" t="str">
        <f>IF(fin_table[[#This Row],[Interest Rate(%)]]&gt;4,"high","low")</f>
        <v>low</v>
      </c>
      <c r="W301" s="5">
        <v>26681.654999999999</v>
      </c>
      <c r="X301" s="5">
        <f>fin_table[[#This Row],[Interest Rate]]*fin_table[[#This Row],[Loan Amount]]</f>
        <v>688.38669900000002</v>
      </c>
      <c r="Y301">
        <v>2</v>
      </c>
      <c r="Z301" s="3">
        <v>520</v>
      </c>
      <c r="AA301" s="3" t="str">
        <f t="shared" si="32"/>
        <v>Poor</v>
      </c>
      <c r="AB301" s="3" cm="1">
        <f t="array" ref="AB301">_xlfn.IFS(fin_table[[#This Row],[Transaction Status]]="Failed", 1, fin_table[[#This Row],[Transaction Status]]="Completed",0,fin_table[[#This Row],[Transaction Status]]="Pending",2)</f>
        <v>2</v>
      </c>
      <c r="AC301" s="3" t="str">
        <f>IF(fin_table[[#This Row],[Loan Defaulters]]=1,"Default", "Good")</f>
        <v>Good</v>
      </c>
      <c r="AD301" s="3">
        <f t="shared" si="33"/>
        <v>1</v>
      </c>
      <c r="AE301" s="4">
        <v>14844.88</v>
      </c>
      <c r="AF301" s="4" t="str">
        <f>IF(fin_table[[#This Row],[Monthly Income]]&lt;3000, "Low Income", IF(fin_table[[#This Row],[Monthly Income]]&lt;=5000, "Middle Income", "High Income"))</f>
        <v>High Income</v>
      </c>
      <c r="AG301" t="s">
        <v>45</v>
      </c>
      <c r="AH301" t="s">
        <v>3635</v>
      </c>
      <c r="AI301" t="str">
        <f t="shared" si="34"/>
        <v>Low-Risk</v>
      </c>
    </row>
    <row r="302" spans="1:35" x14ac:dyDescent="0.35">
      <c r="A302" t="s">
        <v>1186</v>
      </c>
      <c r="B302" t="s">
        <v>1187</v>
      </c>
      <c r="C302" t="s">
        <v>1188</v>
      </c>
      <c r="D302" s="1">
        <v>44579</v>
      </c>
      <c r="E302" s="1" t="str">
        <f t="shared" si="28"/>
        <v>18</v>
      </c>
      <c r="F302" s="1" t="str">
        <f t="shared" si="29"/>
        <v>Jan</v>
      </c>
      <c r="G302" s="6" t="s">
        <v>56</v>
      </c>
      <c r="H302" s="5">
        <v>1142.07</v>
      </c>
      <c r="I302" s="5" t="str">
        <f>IF(fin_table[[#This Row],[Account Balance]]&lt;20000,"Active", "Not Active")</f>
        <v>Active</v>
      </c>
      <c r="J302" s="5">
        <v>15897.48</v>
      </c>
      <c r="K302" s="5" t="str">
        <f t="shared" si="30"/>
        <v>Medium</v>
      </c>
      <c r="L302" s="6" t="s">
        <v>49</v>
      </c>
      <c r="M302">
        <v>28</v>
      </c>
      <c r="N302" s="6" t="str">
        <f t="shared" si="31"/>
        <v>Adults</v>
      </c>
      <c r="O302" s="6" t="s">
        <v>25</v>
      </c>
      <c r="P302" s="6" t="s">
        <v>36</v>
      </c>
      <c r="Q302" t="s">
        <v>1189</v>
      </c>
      <c r="R302" s="6" t="s">
        <v>28</v>
      </c>
      <c r="S302" s="6" t="s">
        <v>44</v>
      </c>
      <c r="T302" s="14">
        <v>1.7000000000000001E-2</v>
      </c>
      <c r="U302">
        <v>1.7000000000000001E-2</v>
      </c>
      <c r="V302" t="str">
        <f>IF(fin_table[[#This Row],[Interest Rate(%)]]&gt;4,"high","low")</f>
        <v>low</v>
      </c>
      <c r="W302" s="5">
        <v>26681.654999999999</v>
      </c>
      <c r="X302" s="5">
        <f>fin_table[[#This Row],[Interest Rate]]*fin_table[[#This Row],[Loan Amount]]</f>
        <v>453.58813500000002</v>
      </c>
      <c r="Y302">
        <v>9</v>
      </c>
      <c r="Z302" s="3">
        <v>614</v>
      </c>
      <c r="AA302" s="3" t="str">
        <f t="shared" si="32"/>
        <v>Fair</v>
      </c>
      <c r="AB302" s="3" cm="1">
        <f t="array" ref="AB302">_xlfn.IFS(fin_table[[#This Row],[Transaction Status]]="Failed", 1, fin_table[[#This Row],[Transaction Status]]="Completed",0,fin_table[[#This Row],[Transaction Status]]="Pending",2)</f>
        <v>0</v>
      </c>
      <c r="AC302" s="3" t="str">
        <f>IF(fin_table[[#This Row],[Loan Defaulters]]=1,"Default", "Good")</f>
        <v>Good</v>
      </c>
      <c r="AD302" s="3">
        <f t="shared" si="33"/>
        <v>2</v>
      </c>
      <c r="AE302" s="4">
        <v>10564.85</v>
      </c>
      <c r="AF302" s="4" t="str">
        <f>IF(fin_table[[#This Row],[Monthly Income]]&lt;3000, "Low Income", IF(fin_table[[#This Row],[Monthly Income]]&lt;=5000, "Middle Income", "High Income"))</f>
        <v>High Income</v>
      </c>
      <c r="AG302" t="s">
        <v>30</v>
      </c>
      <c r="AH302" t="s">
        <v>3635</v>
      </c>
      <c r="AI302" t="str">
        <f t="shared" si="34"/>
        <v>Low-Risk</v>
      </c>
    </row>
    <row r="303" spans="1:35" x14ac:dyDescent="0.35">
      <c r="A303" t="s">
        <v>1190</v>
      </c>
      <c r="B303" t="s">
        <v>1191</v>
      </c>
      <c r="C303" t="s">
        <v>1192</v>
      </c>
      <c r="D303" s="1">
        <v>44681</v>
      </c>
      <c r="E303" s="1" t="str">
        <f t="shared" si="28"/>
        <v>30</v>
      </c>
      <c r="F303" s="1" t="str">
        <f t="shared" si="29"/>
        <v>Apr</v>
      </c>
      <c r="G303" s="6" t="s">
        <v>56</v>
      </c>
      <c r="H303" s="5">
        <v>1756.86</v>
      </c>
      <c r="I303" s="5" t="str">
        <f>IF(fin_table[[#This Row],[Account Balance]]&lt;20000,"Active", "Not Active")</f>
        <v>Active</v>
      </c>
      <c r="J303" s="5">
        <v>16587.12</v>
      </c>
      <c r="K303" s="5" t="str">
        <f t="shared" si="30"/>
        <v>Medium</v>
      </c>
      <c r="L303" s="6" t="s">
        <v>100</v>
      </c>
      <c r="M303">
        <v>19</v>
      </c>
      <c r="N303" s="6" t="str">
        <f t="shared" si="31"/>
        <v>Young Adults</v>
      </c>
      <c r="O303" s="6" t="s">
        <v>25</v>
      </c>
      <c r="P303" s="6" t="s">
        <v>50</v>
      </c>
      <c r="Q303" t="s">
        <v>1193</v>
      </c>
      <c r="R303" s="6" t="s">
        <v>52</v>
      </c>
      <c r="S303" s="6" t="s">
        <v>62</v>
      </c>
      <c r="T303" s="14">
        <v>4.3999999999999997E-2</v>
      </c>
      <c r="U303">
        <v>4.3999999999999997E-2</v>
      </c>
      <c r="V303" t="str">
        <f>IF(fin_table[[#This Row],[Interest Rate(%)]]&gt;4,"high","low")</f>
        <v>low</v>
      </c>
      <c r="W303" s="5">
        <v>26681.654999999999</v>
      </c>
      <c r="X303" s="5">
        <f>fin_table[[#This Row],[Interest Rate]]*fin_table[[#This Row],[Loan Amount]]</f>
        <v>1173.9928199999999</v>
      </c>
      <c r="Y303">
        <v>13</v>
      </c>
      <c r="Z303" s="3">
        <v>593</v>
      </c>
      <c r="AA303" s="3" t="str">
        <f t="shared" si="32"/>
        <v>Fair</v>
      </c>
      <c r="AB303" s="3" cm="1">
        <f t="array" ref="AB303">_xlfn.IFS(fin_table[[#This Row],[Transaction Status]]="Failed", 1, fin_table[[#This Row],[Transaction Status]]="Completed",0,fin_table[[#This Row],[Transaction Status]]="Pending",2)</f>
        <v>2</v>
      </c>
      <c r="AC303" s="3" t="str">
        <f>IF(fin_table[[#This Row],[Loan Defaulters]]=1,"Default", "Good")</f>
        <v>Good</v>
      </c>
      <c r="AD303" s="3">
        <f t="shared" si="33"/>
        <v>2</v>
      </c>
      <c r="AE303" s="4">
        <v>6750.28</v>
      </c>
      <c r="AF303" s="4" t="str">
        <f>IF(fin_table[[#This Row],[Monthly Income]]&lt;3000, "Low Income", IF(fin_table[[#This Row],[Monthly Income]]&lt;=5000, "Middle Income", "High Income"))</f>
        <v>High Income</v>
      </c>
      <c r="AG303" t="s">
        <v>63</v>
      </c>
      <c r="AH303" t="s">
        <v>3635</v>
      </c>
      <c r="AI303" t="str">
        <f t="shared" si="34"/>
        <v>Low-Risk</v>
      </c>
    </row>
    <row r="304" spans="1:35" x14ac:dyDescent="0.35">
      <c r="A304" t="s">
        <v>1194</v>
      </c>
      <c r="B304" t="s">
        <v>1195</v>
      </c>
      <c r="C304" t="s">
        <v>1196</v>
      </c>
      <c r="D304" s="1">
        <v>44924</v>
      </c>
      <c r="E304" s="1" t="str">
        <f t="shared" si="28"/>
        <v>29</v>
      </c>
      <c r="F304" s="1" t="str">
        <f t="shared" si="29"/>
        <v>Dec</v>
      </c>
      <c r="G304" s="6" t="s">
        <v>71</v>
      </c>
      <c r="H304" s="5">
        <v>9723.0499999999993</v>
      </c>
      <c r="I304" s="5" t="str">
        <f>IF(fin_table[[#This Row],[Account Balance]]&lt;20000,"Active", "Not Active")</f>
        <v>Not Active</v>
      </c>
      <c r="J304" s="5">
        <v>48096.81</v>
      </c>
      <c r="K304" s="5" t="str">
        <f t="shared" si="30"/>
        <v>Medium</v>
      </c>
      <c r="L304" s="6" t="s">
        <v>100</v>
      </c>
      <c r="M304">
        <v>43</v>
      </c>
      <c r="N304" s="6" t="str">
        <f t="shared" si="31"/>
        <v>Middle-Aged</v>
      </c>
      <c r="O304" s="6" t="s">
        <v>25</v>
      </c>
      <c r="P304" s="6" t="s">
        <v>36</v>
      </c>
      <c r="Q304" t="s">
        <v>1197</v>
      </c>
      <c r="R304" s="6" t="s">
        <v>28</v>
      </c>
      <c r="S304" s="6" t="s">
        <v>29</v>
      </c>
      <c r="T304" s="14">
        <v>2.1899999999999999E-2</v>
      </c>
      <c r="U304">
        <v>2.19</v>
      </c>
      <c r="V304" t="str">
        <f>IF(fin_table[[#This Row],[Interest Rate(%)]]&gt;4,"high","low")</f>
        <v>low</v>
      </c>
      <c r="W304" s="5">
        <v>47703.98</v>
      </c>
      <c r="X304" s="5">
        <f>fin_table[[#This Row],[Interest Rate]]*fin_table[[#This Row],[Loan Amount]]</f>
        <v>1044.7171620000001</v>
      </c>
      <c r="Y304">
        <v>13</v>
      </c>
      <c r="Z304" s="3">
        <v>309</v>
      </c>
      <c r="AA304" s="3" t="str">
        <f t="shared" si="32"/>
        <v>Poor</v>
      </c>
      <c r="AB304" s="3" cm="1">
        <f t="array" ref="AB304">_xlfn.IFS(fin_table[[#This Row],[Transaction Status]]="Failed", 1, fin_table[[#This Row],[Transaction Status]]="Completed",0,fin_table[[#This Row],[Transaction Status]]="Pending",2)</f>
        <v>1</v>
      </c>
      <c r="AC304" s="3" t="str">
        <f>IF(fin_table[[#This Row],[Loan Defaulters]]=1,"Default", "Good")</f>
        <v>Default</v>
      </c>
      <c r="AD304" s="3">
        <f t="shared" si="33"/>
        <v>1</v>
      </c>
      <c r="AE304" s="4">
        <v>8115.62</v>
      </c>
      <c r="AF304" s="4" t="str">
        <f>IF(fin_table[[#This Row],[Monthly Income]]&lt;3000, "Low Income", IF(fin_table[[#This Row],[Monthly Income]]&lt;=5000, "Middle Income", "High Income"))</f>
        <v>High Income</v>
      </c>
      <c r="AG304" t="s">
        <v>63</v>
      </c>
      <c r="AH304" t="s">
        <v>3636</v>
      </c>
      <c r="AI304" t="str">
        <f t="shared" si="34"/>
        <v>High-Risk</v>
      </c>
    </row>
    <row r="305" spans="1:35" x14ac:dyDescent="0.35">
      <c r="A305" t="s">
        <v>1198</v>
      </c>
      <c r="B305" t="s">
        <v>1199</v>
      </c>
      <c r="C305" t="s">
        <v>1200</v>
      </c>
      <c r="D305" s="1">
        <v>44665</v>
      </c>
      <c r="E305" s="1" t="str">
        <f t="shared" si="28"/>
        <v>14</v>
      </c>
      <c r="F305" s="1" t="str">
        <f t="shared" si="29"/>
        <v>Apr</v>
      </c>
      <c r="G305" s="6" t="s">
        <v>23</v>
      </c>
      <c r="H305" s="5">
        <v>2362.02</v>
      </c>
      <c r="I305" s="5" t="str">
        <f>IF(fin_table[[#This Row],[Account Balance]]&lt;20000,"Active", "Not Active")</f>
        <v>Not Active</v>
      </c>
      <c r="J305" s="5">
        <v>44693.83</v>
      </c>
      <c r="K305" s="5" t="str">
        <f t="shared" si="30"/>
        <v>Medium</v>
      </c>
      <c r="L305" s="6" t="s">
        <v>35</v>
      </c>
      <c r="M305">
        <v>53</v>
      </c>
      <c r="N305" s="6" t="str">
        <f t="shared" si="31"/>
        <v>Older Adults</v>
      </c>
      <c r="O305" s="6" t="s">
        <v>42</v>
      </c>
      <c r="P305" s="6" t="s">
        <v>26</v>
      </c>
      <c r="Q305" t="s">
        <v>1201</v>
      </c>
      <c r="R305" s="6" t="s">
        <v>28</v>
      </c>
      <c r="S305" s="6" t="s">
        <v>44</v>
      </c>
      <c r="T305" s="14">
        <v>3.39E-2</v>
      </c>
      <c r="U305">
        <v>3.39</v>
      </c>
      <c r="V305" t="str">
        <f>IF(fin_table[[#This Row],[Interest Rate(%)]]&gt;4,"high","low")</f>
        <v>low</v>
      </c>
      <c r="W305" s="5">
        <v>43137.53</v>
      </c>
      <c r="X305" s="5">
        <f>fin_table[[#This Row],[Interest Rate]]*fin_table[[#This Row],[Loan Amount]]</f>
        <v>1462.362267</v>
      </c>
      <c r="Y305">
        <v>23</v>
      </c>
      <c r="Z305" s="3">
        <v>780</v>
      </c>
      <c r="AA305" s="3" t="str">
        <f t="shared" si="32"/>
        <v>Very Good</v>
      </c>
      <c r="AB305" s="3" cm="1">
        <f t="array" ref="AB305">_xlfn.IFS(fin_table[[#This Row],[Transaction Status]]="Failed", 1, fin_table[[#This Row],[Transaction Status]]="Completed",0,fin_table[[#This Row],[Transaction Status]]="Pending",2)</f>
        <v>0</v>
      </c>
      <c r="AC305" s="3" t="str">
        <f>IF(fin_table[[#This Row],[Loan Defaulters]]=1,"Default", "Good")</f>
        <v>Good</v>
      </c>
      <c r="AD305" s="3">
        <f t="shared" si="33"/>
        <v>4</v>
      </c>
      <c r="AE305" s="4">
        <v>5465.15</v>
      </c>
      <c r="AF305" s="4" t="str">
        <f>IF(fin_table[[#This Row],[Monthly Income]]&lt;3000, "Low Income", IF(fin_table[[#This Row],[Monthly Income]]&lt;=5000, "Middle Income", "High Income"))</f>
        <v>High Income</v>
      </c>
      <c r="AG305" t="s">
        <v>45</v>
      </c>
      <c r="AH305" t="s">
        <v>3636</v>
      </c>
      <c r="AI305" t="str">
        <f t="shared" si="34"/>
        <v>Low-Risk</v>
      </c>
    </row>
    <row r="306" spans="1:35" x14ac:dyDescent="0.35">
      <c r="A306" t="s">
        <v>1202</v>
      </c>
      <c r="B306" t="s">
        <v>1203</v>
      </c>
      <c r="C306" t="s">
        <v>1204</v>
      </c>
      <c r="D306" s="1">
        <v>44619</v>
      </c>
      <c r="E306" s="1" t="str">
        <f t="shared" si="28"/>
        <v>27</v>
      </c>
      <c r="F306" s="1" t="str">
        <f t="shared" si="29"/>
        <v>Feb</v>
      </c>
      <c r="G306" s="6" t="s">
        <v>23</v>
      </c>
      <c r="H306" s="5">
        <v>9776.7800000000007</v>
      </c>
      <c r="I306" s="5" t="str">
        <f>IF(fin_table[[#This Row],[Account Balance]]&lt;20000,"Active", "Not Active")</f>
        <v>Not Active</v>
      </c>
      <c r="J306" s="5">
        <v>42609.77</v>
      </c>
      <c r="K306" s="5" t="str">
        <f t="shared" si="30"/>
        <v>Medium</v>
      </c>
      <c r="L306" s="6" t="s">
        <v>125</v>
      </c>
      <c r="M306">
        <v>50</v>
      </c>
      <c r="N306" s="6" t="str">
        <f t="shared" si="31"/>
        <v>Older Adults</v>
      </c>
      <c r="O306" s="6" t="s">
        <v>25</v>
      </c>
      <c r="P306" s="6" t="s">
        <v>26</v>
      </c>
      <c r="Q306" t="s">
        <v>1205</v>
      </c>
      <c r="R306" s="6" t="s">
        <v>52</v>
      </c>
      <c r="S306" s="6" t="s">
        <v>44</v>
      </c>
      <c r="T306" s="14">
        <v>3.0099999999999998E-2</v>
      </c>
      <c r="U306">
        <v>3.01</v>
      </c>
      <c r="V306" t="str">
        <f>IF(fin_table[[#This Row],[Interest Rate(%)]]&gt;4,"high","low")</f>
        <v>low</v>
      </c>
      <c r="W306" s="5">
        <v>19986.77</v>
      </c>
      <c r="X306" s="5">
        <f>fin_table[[#This Row],[Interest Rate]]*fin_table[[#This Row],[Loan Amount]]</f>
        <v>601.60177699999997</v>
      </c>
      <c r="Y306">
        <v>13</v>
      </c>
      <c r="Z306" s="3">
        <v>566</v>
      </c>
      <c r="AA306" s="3" t="str">
        <f t="shared" si="32"/>
        <v>Poor</v>
      </c>
      <c r="AB306" s="3" cm="1">
        <f t="array" ref="AB306">_xlfn.IFS(fin_table[[#This Row],[Transaction Status]]="Failed", 1, fin_table[[#This Row],[Transaction Status]]="Completed",0,fin_table[[#This Row],[Transaction Status]]="Pending",2)</f>
        <v>0</v>
      </c>
      <c r="AC306" s="3" t="str">
        <f>IF(fin_table[[#This Row],[Loan Defaulters]]=1,"Default", "Good")</f>
        <v>Good</v>
      </c>
      <c r="AD306" s="3">
        <f t="shared" si="33"/>
        <v>1</v>
      </c>
      <c r="AE306" s="4">
        <v>6483.36</v>
      </c>
      <c r="AF306" s="4" t="str">
        <f>IF(fin_table[[#This Row],[Monthly Income]]&lt;3000, "Low Income", IF(fin_table[[#This Row],[Monthly Income]]&lt;=5000, "Middle Income", "High Income"))</f>
        <v>High Income</v>
      </c>
      <c r="AG306" t="s">
        <v>63</v>
      </c>
      <c r="AH306" t="s">
        <v>3636</v>
      </c>
      <c r="AI306" t="str">
        <f t="shared" si="34"/>
        <v>Low-Risk</v>
      </c>
    </row>
    <row r="307" spans="1:35" x14ac:dyDescent="0.35">
      <c r="A307" t="s">
        <v>1206</v>
      </c>
      <c r="B307" t="s">
        <v>1207</v>
      </c>
      <c r="C307" t="s">
        <v>1208</v>
      </c>
      <c r="D307" s="1">
        <v>45001</v>
      </c>
      <c r="E307" s="1" t="str">
        <f t="shared" si="28"/>
        <v>16</v>
      </c>
      <c r="F307" s="1" t="str">
        <f t="shared" si="29"/>
        <v>Mar</v>
      </c>
      <c r="G307" s="6" t="s">
        <v>56</v>
      </c>
      <c r="H307" s="5">
        <v>5365.94</v>
      </c>
      <c r="I307" s="5" t="str">
        <f>IF(fin_table[[#This Row],[Account Balance]]&lt;20000,"Active", "Not Active")</f>
        <v>Not Active</v>
      </c>
      <c r="J307" s="5">
        <v>20894.580000000002</v>
      </c>
      <c r="K307" s="5" t="str">
        <f t="shared" si="30"/>
        <v>Medium</v>
      </c>
      <c r="L307" s="6" t="s">
        <v>24</v>
      </c>
      <c r="M307">
        <v>64</v>
      </c>
      <c r="N307" s="6" t="str">
        <f t="shared" si="31"/>
        <v>Seniors</v>
      </c>
      <c r="O307" s="6" t="s">
        <v>42</v>
      </c>
      <c r="P307" s="6" t="s">
        <v>26</v>
      </c>
      <c r="Q307" t="s">
        <v>1209</v>
      </c>
      <c r="R307" s="6" t="s">
        <v>52</v>
      </c>
      <c r="S307" s="6" t="s">
        <v>29</v>
      </c>
      <c r="T307" s="14">
        <v>1.21E-2</v>
      </c>
      <c r="U307">
        <v>1.21</v>
      </c>
      <c r="V307" t="str">
        <f>IF(fin_table[[#This Row],[Interest Rate(%)]]&gt;4,"high","low")</f>
        <v>low</v>
      </c>
      <c r="W307" s="5">
        <v>26681.654999999999</v>
      </c>
      <c r="X307" s="5">
        <f>fin_table[[#This Row],[Interest Rate]]*fin_table[[#This Row],[Loan Amount]]</f>
        <v>322.84802549999995</v>
      </c>
      <c r="Y307">
        <v>11</v>
      </c>
      <c r="Z307" s="3">
        <v>387</v>
      </c>
      <c r="AA307" s="3" t="str">
        <f t="shared" si="32"/>
        <v>Poor</v>
      </c>
      <c r="AB307" s="3" cm="1">
        <f t="array" ref="AB307">_xlfn.IFS(fin_table[[#This Row],[Transaction Status]]="Failed", 1, fin_table[[#This Row],[Transaction Status]]="Completed",0,fin_table[[#This Row],[Transaction Status]]="Pending",2)</f>
        <v>1</v>
      </c>
      <c r="AC307" s="3" t="str">
        <f>IF(fin_table[[#This Row],[Loan Defaulters]]=1,"Default", "Good")</f>
        <v>Default</v>
      </c>
      <c r="AD307" s="3">
        <f t="shared" si="33"/>
        <v>1</v>
      </c>
      <c r="AE307" s="4">
        <v>10437.58</v>
      </c>
      <c r="AF307" s="4" t="str">
        <f>IF(fin_table[[#This Row],[Monthly Income]]&lt;3000, "Low Income", IF(fin_table[[#This Row],[Monthly Income]]&lt;=5000, "Middle Income", "High Income"))</f>
        <v>High Income</v>
      </c>
      <c r="AG307" t="s">
        <v>30</v>
      </c>
      <c r="AH307" t="s">
        <v>3635</v>
      </c>
      <c r="AI307" t="str">
        <f t="shared" si="34"/>
        <v>Low-Risk</v>
      </c>
    </row>
    <row r="308" spans="1:35" x14ac:dyDescent="0.35">
      <c r="A308" t="s">
        <v>1210</v>
      </c>
      <c r="B308" t="s">
        <v>1211</v>
      </c>
      <c r="C308" t="s">
        <v>1212</v>
      </c>
      <c r="D308" s="1">
        <v>44900</v>
      </c>
      <c r="E308" s="1" t="str">
        <f t="shared" si="28"/>
        <v>05</v>
      </c>
      <c r="F308" s="1" t="str">
        <f t="shared" si="29"/>
        <v>Dec</v>
      </c>
      <c r="G308" s="6" t="s">
        <v>71</v>
      </c>
      <c r="H308" s="5">
        <v>1444.31</v>
      </c>
      <c r="I308" s="5" t="str">
        <f>IF(fin_table[[#This Row],[Account Balance]]&lt;20000,"Active", "Not Active")</f>
        <v>Active</v>
      </c>
      <c r="J308" s="5">
        <v>1671.23</v>
      </c>
      <c r="K308" s="5" t="str">
        <f t="shared" si="30"/>
        <v>Low</v>
      </c>
      <c r="L308" s="6" t="s">
        <v>24</v>
      </c>
      <c r="M308">
        <v>30</v>
      </c>
      <c r="N308" s="6" t="str">
        <f t="shared" si="31"/>
        <v>Adults</v>
      </c>
      <c r="O308" s="6" t="s">
        <v>25</v>
      </c>
      <c r="P308" s="6" t="s">
        <v>36</v>
      </c>
      <c r="Q308" t="s">
        <v>1213</v>
      </c>
      <c r="R308" s="6" t="s">
        <v>38</v>
      </c>
      <c r="S308" s="6" t="s">
        <v>29</v>
      </c>
      <c r="T308" s="14">
        <v>4.7699999999999999E-2</v>
      </c>
      <c r="U308">
        <v>4.7699999999999996</v>
      </c>
      <c r="V308" t="str">
        <f>IF(fin_table[[#This Row],[Interest Rate(%)]]&gt;4,"high","low")</f>
        <v>high</v>
      </c>
      <c r="W308" s="5">
        <v>24049.7</v>
      </c>
      <c r="X308" s="5">
        <f>fin_table[[#This Row],[Interest Rate]]*fin_table[[#This Row],[Loan Amount]]</f>
        <v>1147.1706899999999</v>
      </c>
      <c r="Y308">
        <v>13</v>
      </c>
      <c r="Z308" s="3">
        <v>754</v>
      </c>
      <c r="AA308" s="3" t="str">
        <f t="shared" si="32"/>
        <v>Very Good</v>
      </c>
      <c r="AB308" s="3" cm="1">
        <f t="array" ref="AB308">_xlfn.IFS(fin_table[[#This Row],[Transaction Status]]="Failed", 1, fin_table[[#This Row],[Transaction Status]]="Completed",0,fin_table[[#This Row],[Transaction Status]]="Pending",2)</f>
        <v>1</v>
      </c>
      <c r="AC308" s="3" t="str">
        <f>IF(fin_table[[#This Row],[Loan Defaulters]]=1,"Default", "Good")</f>
        <v>Default</v>
      </c>
      <c r="AD308" s="3">
        <f t="shared" si="33"/>
        <v>4</v>
      </c>
      <c r="AE308" s="4">
        <v>13476.55</v>
      </c>
      <c r="AF308" s="4" t="str">
        <f>IF(fin_table[[#This Row],[Monthly Income]]&lt;3000, "Low Income", IF(fin_table[[#This Row],[Monthly Income]]&lt;=5000, "Middle Income", "High Income"))</f>
        <v>High Income</v>
      </c>
      <c r="AG308" t="s">
        <v>30</v>
      </c>
      <c r="AH308" t="s">
        <v>3636</v>
      </c>
      <c r="AI308" t="str">
        <f t="shared" si="34"/>
        <v>Low-Risk</v>
      </c>
    </row>
    <row r="309" spans="1:35" x14ac:dyDescent="0.35">
      <c r="A309" t="s">
        <v>1214</v>
      </c>
      <c r="B309" t="s">
        <v>1215</v>
      </c>
      <c r="C309" t="s">
        <v>1216</v>
      </c>
      <c r="D309" s="1">
        <v>44797</v>
      </c>
      <c r="E309" s="1" t="str">
        <f t="shared" si="28"/>
        <v>24</v>
      </c>
      <c r="F309" s="1" t="str">
        <f t="shared" si="29"/>
        <v>Aug</v>
      </c>
      <c r="G309" s="6" t="s">
        <v>34</v>
      </c>
      <c r="H309" s="5">
        <v>1083.0899999999999</v>
      </c>
      <c r="I309" s="5" t="str">
        <f>IF(fin_table[[#This Row],[Account Balance]]&lt;20000,"Active", "Not Active")</f>
        <v>Active</v>
      </c>
      <c r="J309" s="5">
        <v>4930.8900000000003</v>
      </c>
      <c r="K309" s="5" t="str">
        <f t="shared" si="30"/>
        <v>Low</v>
      </c>
      <c r="L309" s="6" t="s">
        <v>125</v>
      </c>
      <c r="M309">
        <v>57</v>
      </c>
      <c r="N309" s="6" t="str">
        <f t="shared" si="31"/>
        <v>Older Adults</v>
      </c>
      <c r="O309" s="6" t="s">
        <v>25</v>
      </c>
      <c r="P309" s="6" t="s">
        <v>26</v>
      </c>
      <c r="Q309" t="s">
        <v>1217</v>
      </c>
      <c r="R309" s="6" t="s">
        <v>28</v>
      </c>
      <c r="S309" s="6" t="s">
        <v>44</v>
      </c>
      <c r="T309" s="14">
        <v>3.1099999999999999E-2</v>
      </c>
      <c r="U309">
        <v>3.11</v>
      </c>
      <c r="V309" t="str">
        <f>IF(fin_table[[#This Row],[Interest Rate(%)]]&gt;4,"high","low")</f>
        <v>low</v>
      </c>
      <c r="W309" s="5">
        <v>26681.654999999999</v>
      </c>
      <c r="X309" s="5">
        <f>fin_table[[#This Row],[Interest Rate]]*fin_table[[#This Row],[Loan Amount]]</f>
        <v>829.79947049999998</v>
      </c>
      <c r="Y309">
        <v>11</v>
      </c>
      <c r="Z309" s="3">
        <v>832</v>
      </c>
      <c r="AA309" s="3" t="str">
        <f t="shared" si="32"/>
        <v>Excellent</v>
      </c>
      <c r="AB309" s="3" cm="1">
        <f t="array" ref="AB309">_xlfn.IFS(fin_table[[#This Row],[Transaction Status]]="Failed", 1, fin_table[[#This Row],[Transaction Status]]="Completed",0,fin_table[[#This Row],[Transaction Status]]="Pending",2)</f>
        <v>0</v>
      </c>
      <c r="AC309" s="3" t="str">
        <f>IF(fin_table[[#This Row],[Loan Defaulters]]=1,"Default", "Good")</f>
        <v>Good</v>
      </c>
      <c r="AD309" s="3">
        <f t="shared" si="33"/>
        <v>5</v>
      </c>
      <c r="AE309" s="4">
        <v>4393.6899999999996</v>
      </c>
      <c r="AF309" s="4" t="str">
        <f>IF(fin_table[[#This Row],[Monthly Income]]&lt;3000, "Low Income", IF(fin_table[[#This Row],[Monthly Income]]&lt;=5000, "Middle Income", "High Income"))</f>
        <v>Middle Income</v>
      </c>
      <c r="AG309" t="s">
        <v>63</v>
      </c>
      <c r="AH309" t="s">
        <v>3635</v>
      </c>
      <c r="AI309" t="str">
        <f t="shared" si="34"/>
        <v>Low-Risk</v>
      </c>
    </row>
    <row r="310" spans="1:35" x14ac:dyDescent="0.35">
      <c r="A310" t="s">
        <v>1218</v>
      </c>
      <c r="B310" t="s">
        <v>1219</v>
      </c>
      <c r="C310" t="s">
        <v>1220</v>
      </c>
      <c r="D310" s="1">
        <v>44660</v>
      </c>
      <c r="E310" s="1" t="str">
        <f t="shared" si="28"/>
        <v>09</v>
      </c>
      <c r="F310" s="1" t="str">
        <f t="shared" si="29"/>
        <v>Apr</v>
      </c>
      <c r="G310" s="6" t="s">
        <v>34</v>
      </c>
      <c r="H310" s="5">
        <v>2167.75</v>
      </c>
      <c r="I310" s="5" t="str">
        <f>IF(fin_table[[#This Row],[Account Balance]]&lt;20000,"Active", "Not Active")</f>
        <v>Active</v>
      </c>
      <c r="J310" s="5">
        <v>16297.62</v>
      </c>
      <c r="K310" s="5" t="str">
        <f t="shared" si="30"/>
        <v>Medium</v>
      </c>
      <c r="L310" s="6" t="s">
        <v>100</v>
      </c>
      <c r="M310">
        <v>42</v>
      </c>
      <c r="N310" s="6" t="str">
        <f t="shared" si="31"/>
        <v>Middle-Aged</v>
      </c>
      <c r="O310" s="6" t="s">
        <v>42</v>
      </c>
      <c r="P310" s="6" t="s">
        <v>50</v>
      </c>
      <c r="Q310" t="s">
        <v>1221</v>
      </c>
      <c r="R310" s="6" t="s">
        <v>52</v>
      </c>
      <c r="S310" s="6" t="s">
        <v>44</v>
      </c>
      <c r="T310" s="14">
        <v>2.3E-2</v>
      </c>
      <c r="U310">
        <v>2.3E-2</v>
      </c>
      <c r="V310" t="str">
        <f>IF(fin_table[[#This Row],[Interest Rate(%)]]&gt;4,"high","low")</f>
        <v>low</v>
      </c>
      <c r="W310" s="5">
        <v>26681.654999999999</v>
      </c>
      <c r="X310" s="5">
        <f>fin_table[[#This Row],[Interest Rate]]*fin_table[[#This Row],[Loan Amount]]</f>
        <v>613.67806499999995</v>
      </c>
      <c r="Y310">
        <v>13</v>
      </c>
      <c r="Z310" s="3">
        <v>447</v>
      </c>
      <c r="AA310" s="3" t="str">
        <f t="shared" si="32"/>
        <v>Poor</v>
      </c>
      <c r="AB310" s="3" cm="1">
        <f t="array" ref="AB310">_xlfn.IFS(fin_table[[#This Row],[Transaction Status]]="Failed", 1, fin_table[[#This Row],[Transaction Status]]="Completed",0,fin_table[[#This Row],[Transaction Status]]="Pending",2)</f>
        <v>0</v>
      </c>
      <c r="AC310" s="3" t="str">
        <f>IF(fin_table[[#This Row],[Loan Defaulters]]=1,"Default", "Good")</f>
        <v>Good</v>
      </c>
      <c r="AD310" s="3">
        <f t="shared" si="33"/>
        <v>1</v>
      </c>
      <c r="AE310" s="4">
        <v>12924.7</v>
      </c>
      <c r="AF310" s="4" t="str">
        <f>IF(fin_table[[#This Row],[Monthly Income]]&lt;3000, "Low Income", IF(fin_table[[#This Row],[Monthly Income]]&lt;=5000, "Middle Income", "High Income"))</f>
        <v>High Income</v>
      </c>
      <c r="AG310" t="s">
        <v>45</v>
      </c>
      <c r="AH310" t="s">
        <v>3635</v>
      </c>
      <c r="AI310" t="str">
        <f t="shared" si="34"/>
        <v>Low-Risk</v>
      </c>
    </row>
    <row r="311" spans="1:35" x14ac:dyDescent="0.35">
      <c r="A311" t="s">
        <v>1222</v>
      </c>
      <c r="B311" t="s">
        <v>1223</v>
      </c>
      <c r="C311" t="s">
        <v>1224</v>
      </c>
      <c r="D311" s="1">
        <v>44660</v>
      </c>
      <c r="E311" s="1" t="str">
        <f t="shared" si="28"/>
        <v>09</v>
      </c>
      <c r="F311" s="1" t="str">
        <f t="shared" si="29"/>
        <v>Apr</v>
      </c>
      <c r="G311" s="6" t="s">
        <v>23</v>
      </c>
      <c r="H311" s="5">
        <v>9263.81</v>
      </c>
      <c r="I311" s="5" t="str">
        <f>IF(fin_table[[#This Row],[Account Balance]]&lt;20000,"Active", "Not Active")</f>
        <v>Active</v>
      </c>
      <c r="J311" s="5">
        <v>1771.4</v>
      </c>
      <c r="K311" s="5" t="str">
        <f t="shared" si="30"/>
        <v>Low</v>
      </c>
      <c r="L311" s="6" t="s">
        <v>100</v>
      </c>
      <c r="M311">
        <v>21</v>
      </c>
      <c r="N311" s="6" t="str">
        <f t="shared" si="31"/>
        <v>Young Adults</v>
      </c>
      <c r="O311" s="6" t="s">
        <v>25</v>
      </c>
      <c r="P311" s="6" t="s">
        <v>36</v>
      </c>
      <c r="Q311" t="s">
        <v>1225</v>
      </c>
      <c r="R311" s="6" t="s">
        <v>52</v>
      </c>
      <c r="S311" s="6" t="s">
        <v>29</v>
      </c>
      <c r="T311" s="14">
        <v>1.6299999999999999E-2</v>
      </c>
      <c r="U311">
        <v>1.63</v>
      </c>
      <c r="V311" t="str">
        <f>IF(fin_table[[#This Row],[Interest Rate(%)]]&gt;4,"high","low")</f>
        <v>low</v>
      </c>
      <c r="W311" s="5">
        <v>26681.654999999999</v>
      </c>
      <c r="X311" s="5">
        <f>fin_table[[#This Row],[Interest Rate]]*fin_table[[#This Row],[Loan Amount]]</f>
        <v>434.91097649999995</v>
      </c>
      <c r="Y311">
        <v>8</v>
      </c>
      <c r="Z311" s="3">
        <v>730</v>
      </c>
      <c r="AA311" s="3" t="str">
        <f t="shared" si="32"/>
        <v>Good</v>
      </c>
      <c r="AB311" s="3" cm="1">
        <f t="array" ref="AB311">_xlfn.IFS(fin_table[[#This Row],[Transaction Status]]="Failed", 1, fin_table[[#This Row],[Transaction Status]]="Completed",0,fin_table[[#This Row],[Transaction Status]]="Pending",2)</f>
        <v>1</v>
      </c>
      <c r="AC311" s="3" t="str">
        <f>IF(fin_table[[#This Row],[Loan Defaulters]]=1,"Default", "Good")</f>
        <v>Default</v>
      </c>
      <c r="AD311" s="3">
        <f t="shared" si="33"/>
        <v>3</v>
      </c>
      <c r="AE311" s="4">
        <v>3580.24</v>
      </c>
      <c r="AF311" s="4" t="str">
        <f>IF(fin_table[[#This Row],[Monthly Income]]&lt;3000, "Low Income", IF(fin_table[[#This Row],[Monthly Income]]&lt;=5000, "Middle Income", "High Income"))</f>
        <v>Middle Income</v>
      </c>
      <c r="AG311" t="s">
        <v>45</v>
      </c>
      <c r="AH311" t="s">
        <v>3635</v>
      </c>
      <c r="AI311" t="str">
        <f t="shared" si="34"/>
        <v>Low-Risk</v>
      </c>
    </row>
    <row r="312" spans="1:35" x14ac:dyDescent="0.35">
      <c r="A312" t="s">
        <v>1226</v>
      </c>
      <c r="B312" t="s">
        <v>1227</v>
      </c>
      <c r="C312" t="s">
        <v>1228</v>
      </c>
      <c r="D312" s="1">
        <v>45034</v>
      </c>
      <c r="E312" s="1" t="str">
        <f t="shared" si="28"/>
        <v>18</v>
      </c>
      <c r="F312" s="1" t="str">
        <f t="shared" si="29"/>
        <v>Apr</v>
      </c>
      <c r="G312" s="6" t="s">
        <v>34</v>
      </c>
      <c r="H312" s="5">
        <v>4200.09</v>
      </c>
      <c r="I312" s="5" t="str">
        <f>IF(fin_table[[#This Row],[Account Balance]]&lt;20000,"Active", "Not Active")</f>
        <v>Active</v>
      </c>
      <c r="J312" s="5">
        <v>1840.34</v>
      </c>
      <c r="K312" s="5" t="str">
        <f t="shared" si="30"/>
        <v>Low</v>
      </c>
      <c r="L312" s="6" t="s">
        <v>49</v>
      </c>
      <c r="M312">
        <v>59</v>
      </c>
      <c r="N312" s="6" t="str">
        <f t="shared" si="31"/>
        <v>Older Adults</v>
      </c>
      <c r="O312" s="6" t="s">
        <v>25</v>
      </c>
      <c r="P312" s="6" t="s">
        <v>26</v>
      </c>
      <c r="Q312" t="s">
        <v>1229</v>
      </c>
      <c r="R312" s="6" t="s">
        <v>28</v>
      </c>
      <c r="S312" s="6" t="s">
        <v>62</v>
      </c>
      <c r="T312" s="14">
        <v>2.35E-2</v>
      </c>
      <c r="U312">
        <v>2.35</v>
      </c>
      <c r="V312" t="str">
        <f>IF(fin_table[[#This Row],[Interest Rate(%)]]&gt;4,"high","low")</f>
        <v>low</v>
      </c>
      <c r="W312" s="5">
        <v>26681.654999999999</v>
      </c>
      <c r="X312" s="5">
        <f>fin_table[[#This Row],[Interest Rate]]*fin_table[[#This Row],[Loan Amount]]</f>
        <v>627.01889249999999</v>
      </c>
      <c r="Y312">
        <v>7</v>
      </c>
      <c r="Z312" s="3">
        <v>541</v>
      </c>
      <c r="AA312" s="3" t="str">
        <f t="shared" si="32"/>
        <v>Poor</v>
      </c>
      <c r="AB312" s="3" cm="1">
        <f t="array" ref="AB312">_xlfn.IFS(fin_table[[#This Row],[Transaction Status]]="Failed", 1, fin_table[[#This Row],[Transaction Status]]="Completed",0,fin_table[[#This Row],[Transaction Status]]="Pending",2)</f>
        <v>2</v>
      </c>
      <c r="AC312" s="3" t="str">
        <f>IF(fin_table[[#This Row],[Loan Defaulters]]=1,"Default", "Good")</f>
        <v>Good</v>
      </c>
      <c r="AD312" s="3">
        <f t="shared" si="33"/>
        <v>1</v>
      </c>
      <c r="AE312" s="4">
        <v>4794.8999999999996</v>
      </c>
      <c r="AF312" s="4" t="str">
        <f>IF(fin_table[[#This Row],[Monthly Income]]&lt;3000, "Low Income", IF(fin_table[[#This Row],[Monthly Income]]&lt;=5000, "Middle Income", "High Income"))</f>
        <v>Middle Income</v>
      </c>
      <c r="AG312" t="s">
        <v>30</v>
      </c>
      <c r="AH312" t="s">
        <v>3635</v>
      </c>
      <c r="AI312" t="str">
        <f t="shared" si="34"/>
        <v>Low-Risk</v>
      </c>
    </row>
    <row r="313" spans="1:35" x14ac:dyDescent="0.35">
      <c r="A313" t="s">
        <v>1230</v>
      </c>
      <c r="B313" t="s">
        <v>1231</v>
      </c>
      <c r="C313" t="s">
        <v>1232</v>
      </c>
      <c r="D313" s="1">
        <v>44957</v>
      </c>
      <c r="E313" s="1" t="str">
        <f t="shared" si="28"/>
        <v>31</v>
      </c>
      <c r="F313" s="1" t="str">
        <f t="shared" si="29"/>
        <v>Jan</v>
      </c>
      <c r="G313" s="6" t="s">
        <v>23</v>
      </c>
      <c r="H313" s="5">
        <v>4014.8</v>
      </c>
      <c r="I313" s="5" t="str">
        <f>IF(fin_table[[#This Row],[Account Balance]]&lt;20000,"Active", "Not Active")</f>
        <v>Not Active</v>
      </c>
      <c r="J313" s="5">
        <v>45913.56</v>
      </c>
      <c r="K313" s="5" t="str">
        <f t="shared" si="30"/>
        <v>Medium</v>
      </c>
      <c r="L313" s="6" t="s">
        <v>35</v>
      </c>
      <c r="M313">
        <v>36</v>
      </c>
      <c r="N313" s="6" t="str">
        <f t="shared" si="31"/>
        <v>Middle-Aged</v>
      </c>
      <c r="O313" s="6" t="s">
        <v>25</v>
      </c>
      <c r="P313" s="6" t="s">
        <v>50</v>
      </c>
      <c r="Q313" t="s">
        <v>92</v>
      </c>
      <c r="R313" s="6" t="s">
        <v>52</v>
      </c>
      <c r="S313" s="6" t="s">
        <v>44</v>
      </c>
      <c r="T313" s="14">
        <v>1.0800000000000001E-2</v>
      </c>
      <c r="U313">
        <v>1.08</v>
      </c>
      <c r="V313" t="str">
        <f>IF(fin_table[[#This Row],[Interest Rate(%)]]&gt;4,"high","low")</f>
        <v>low</v>
      </c>
      <c r="W313" s="5">
        <v>22973.07</v>
      </c>
      <c r="X313" s="5">
        <f>fin_table[[#This Row],[Interest Rate]]*fin_table[[#This Row],[Loan Amount]]</f>
        <v>248.10915600000001</v>
      </c>
      <c r="Y313">
        <v>25</v>
      </c>
      <c r="Z313" s="3">
        <v>365</v>
      </c>
      <c r="AA313" s="3" t="str">
        <f t="shared" si="32"/>
        <v>Poor</v>
      </c>
      <c r="AB313" s="3" cm="1">
        <f t="array" ref="AB313">_xlfn.IFS(fin_table[[#This Row],[Transaction Status]]="Failed", 1, fin_table[[#This Row],[Transaction Status]]="Completed",0,fin_table[[#This Row],[Transaction Status]]="Pending",2)</f>
        <v>0</v>
      </c>
      <c r="AC313" s="3" t="str">
        <f>IF(fin_table[[#This Row],[Loan Defaulters]]=1,"Default", "Good")</f>
        <v>Good</v>
      </c>
      <c r="AD313" s="3">
        <f t="shared" si="33"/>
        <v>1</v>
      </c>
      <c r="AE313" s="4">
        <v>2483.2800000000002</v>
      </c>
      <c r="AF313" s="4" t="str">
        <f>IF(fin_table[[#This Row],[Monthly Income]]&lt;3000, "Low Income", IF(fin_table[[#This Row],[Monthly Income]]&lt;=5000, "Middle Income", "High Income"))</f>
        <v>Low Income</v>
      </c>
      <c r="AG313" t="s">
        <v>63</v>
      </c>
      <c r="AH313" t="s">
        <v>3636</v>
      </c>
      <c r="AI313" t="str">
        <f t="shared" si="34"/>
        <v>Low-Risk</v>
      </c>
    </row>
    <row r="314" spans="1:35" x14ac:dyDescent="0.35">
      <c r="A314" t="s">
        <v>1233</v>
      </c>
      <c r="B314" t="s">
        <v>1234</v>
      </c>
      <c r="C314" t="s">
        <v>1235</v>
      </c>
      <c r="D314" s="1">
        <v>44987</v>
      </c>
      <c r="E314" s="1" t="str">
        <f t="shared" si="28"/>
        <v>02</v>
      </c>
      <c r="F314" s="1" t="str">
        <f t="shared" si="29"/>
        <v>Mar</v>
      </c>
      <c r="G314" s="6" t="s">
        <v>23</v>
      </c>
      <c r="H314" s="5">
        <v>3200.74</v>
      </c>
      <c r="I314" s="5" t="str">
        <f>IF(fin_table[[#This Row],[Account Balance]]&lt;20000,"Active", "Not Active")</f>
        <v>Not Active</v>
      </c>
      <c r="J314" s="5">
        <v>35601.769999999997</v>
      </c>
      <c r="K314" s="5" t="str">
        <f t="shared" si="30"/>
        <v>Medium</v>
      </c>
      <c r="L314" s="6" t="s">
        <v>35</v>
      </c>
      <c r="M314">
        <v>35</v>
      </c>
      <c r="N314" s="6" t="str">
        <f t="shared" si="31"/>
        <v>Adults</v>
      </c>
      <c r="O314" s="6" t="s">
        <v>42</v>
      </c>
      <c r="P314" s="6" t="s">
        <v>50</v>
      </c>
      <c r="Q314" t="s">
        <v>1236</v>
      </c>
      <c r="R314" s="6" t="s">
        <v>38</v>
      </c>
      <c r="S314" s="6" t="s">
        <v>29</v>
      </c>
      <c r="T314" s="14">
        <v>2.4500000000000001E-2</v>
      </c>
      <c r="U314">
        <v>2.4500000000000002</v>
      </c>
      <c r="V314" t="str">
        <f>IF(fin_table[[#This Row],[Interest Rate(%)]]&gt;4,"high","low")</f>
        <v>low</v>
      </c>
      <c r="W314" s="5">
        <v>34025.440000000002</v>
      </c>
      <c r="X314" s="5">
        <f>fin_table[[#This Row],[Interest Rate]]*fin_table[[#This Row],[Loan Amount]]</f>
        <v>833.62328000000014</v>
      </c>
      <c r="Y314">
        <v>16</v>
      </c>
      <c r="Z314" s="3">
        <v>677</v>
      </c>
      <c r="AA314" s="3" t="str">
        <f t="shared" si="32"/>
        <v>Good</v>
      </c>
      <c r="AB314" s="3" cm="1">
        <f t="array" ref="AB314">_xlfn.IFS(fin_table[[#This Row],[Transaction Status]]="Failed", 1, fin_table[[#This Row],[Transaction Status]]="Completed",0,fin_table[[#This Row],[Transaction Status]]="Pending",2)</f>
        <v>1</v>
      </c>
      <c r="AC314" s="3" t="str">
        <f>IF(fin_table[[#This Row],[Loan Defaulters]]=1,"Default", "Good")</f>
        <v>Default</v>
      </c>
      <c r="AD314" s="3">
        <f t="shared" si="33"/>
        <v>3</v>
      </c>
      <c r="AE314" s="4">
        <v>3830.55</v>
      </c>
      <c r="AF314" s="4" t="str">
        <f>IF(fin_table[[#This Row],[Monthly Income]]&lt;3000, "Low Income", IF(fin_table[[#This Row],[Monthly Income]]&lt;=5000, "Middle Income", "High Income"))</f>
        <v>Middle Income</v>
      </c>
      <c r="AG314" t="s">
        <v>30</v>
      </c>
      <c r="AH314" t="s">
        <v>3636</v>
      </c>
      <c r="AI314" t="str">
        <f t="shared" si="34"/>
        <v>Low-Risk</v>
      </c>
    </row>
    <row r="315" spans="1:35" x14ac:dyDescent="0.35">
      <c r="A315" t="s">
        <v>1237</v>
      </c>
      <c r="B315" t="s">
        <v>1238</v>
      </c>
      <c r="C315" t="s">
        <v>1239</v>
      </c>
      <c r="D315" s="1">
        <v>44614</v>
      </c>
      <c r="E315" s="1" t="str">
        <f t="shared" si="28"/>
        <v>22</v>
      </c>
      <c r="F315" s="1" t="str">
        <f t="shared" si="29"/>
        <v>Feb</v>
      </c>
      <c r="G315" s="6" t="s">
        <v>23</v>
      </c>
      <c r="H315" s="5">
        <v>1555.91</v>
      </c>
      <c r="I315" s="5" t="str">
        <f>IF(fin_table[[#This Row],[Account Balance]]&lt;20000,"Active", "Not Active")</f>
        <v>Active</v>
      </c>
      <c r="J315" s="5">
        <v>16138.84</v>
      </c>
      <c r="K315" s="5" t="str">
        <f t="shared" si="30"/>
        <v>Medium</v>
      </c>
      <c r="L315" s="6" t="s">
        <v>35</v>
      </c>
      <c r="M315">
        <v>54</v>
      </c>
      <c r="N315" s="6" t="str">
        <f t="shared" si="31"/>
        <v>Older Adults</v>
      </c>
      <c r="O315" s="6" t="s">
        <v>25</v>
      </c>
      <c r="P315" s="6" t="s">
        <v>26</v>
      </c>
      <c r="Q315" t="s">
        <v>917</v>
      </c>
      <c r="R315" s="6" t="s">
        <v>38</v>
      </c>
      <c r="S315" s="6" t="s">
        <v>62</v>
      </c>
      <c r="T315" s="14">
        <v>3.1300000000000001E-2</v>
      </c>
      <c r="U315">
        <v>3.13</v>
      </c>
      <c r="V315" t="str">
        <f>IF(fin_table[[#This Row],[Interest Rate(%)]]&gt;4,"high","low")</f>
        <v>low</v>
      </c>
      <c r="W315" s="5">
        <v>22793.23</v>
      </c>
      <c r="X315" s="5">
        <f>fin_table[[#This Row],[Interest Rate]]*fin_table[[#This Row],[Loan Amount]]</f>
        <v>713.42809899999997</v>
      </c>
      <c r="Y315">
        <v>13</v>
      </c>
      <c r="Z315" s="3">
        <v>687</v>
      </c>
      <c r="AA315" s="3" t="str">
        <f t="shared" si="32"/>
        <v>Good</v>
      </c>
      <c r="AB315" s="3" cm="1">
        <f t="array" ref="AB315">_xlfn.IFS(fin_table[[#This Row],[Transaction Status]]="Failed", 1, fin_table[[#This Row],[Transaction Status]]="Completed",0,fin_table[[#This Row],[Transaction Status]]="Pending",2)</f>
        <v>2</v>
      </c>
      <c r="AC315" s="3" t="str">
        <f>IF(fin_table[[#This Row],[Loan Defaulters]]=1,"Default", "Good")</f>
        <v>Good</v>
      </c>
      <c r="AD315" s="3">
        <f t="shared" si="33"/>
        <v>3</v>
      </c>
      <c r="AE315" s="4">
        <v>13924.94</v>
      </c>
      <c r="AF315" s="4" t="str">
        <f>IF(fin_table[[#This Row],[Monthly Income]]&lt;3000, "Low Income", IF(fin_table[[#This Row],[Monthly Income]]&lt;=5000, "Middle Income", "High Income"))</f>
        <v>High Income</v>
      </c>
      <c r="AG315" t="s">
        <v>30</v>
      </c>
      <c r="AH315" t="s">
        <v>3636</v>
      </c>
      <c r="AI315" t="str">
        <f t="shared" si="34"/>
        <v>Low-Risk</v>
      </c>
    </row>
    <row r="316" spans="1:35" x14ac:dyDescent="0.35">
      <c r="A316" t="s">
        <v>1240</v>
      </c>
      <c r="B316" t="s">
        <v>1241</v>
      </c>
      <c r="C316" t="s">
        <v>1242</v>
      </c>
      <c r="D316" s="1">
        <v>44614</v>
      </c>
      <c r="E316" s="1" t="str">
        <f t="shared" si="28"/>
        <v>22</v>
      </c>
      <c r="F316" s="1" t="str">
        <f t="shared" si="29"/>
        <v>Feb</v>
      </c>
      <c r="G316" s="6" t="s">
        <v>34</v>
      </c>
      <c r="H316" s="5">
        <v>4929.7299999999996</v>
      </c>
      <c r="I316" s="5" t="str">
        <f>IF(fin_table[[#This Row],[Account Balance]]&lt;20000,"Active", "Not Active")</f>
        <v>Active</v>
      </c>
      <c r="J316" s="5">
        <v>7499.58</v>
      </c>
      <c r="K316" s="5" t="str">
        <f t="shared" si="30"/>
        <v>Low</v>
      </c>
      <c r="L316" s="6" t="s">
        <v>49</v>
      </c>
      <c r="M316">
        <v>47</v>
      </c>
      <c r="N316" s="6" t="str">
        <f t="shared" si="31"/>
        <v>Older Adults</v>
      </c>
      <c r="O316" s="6" t="s">
        <v>42</v>
      </c>
      <c r="P316" s="6" t="s">
        <v>50</v>
      </c>
      <c r="Q316" t="s">
        <v>1243</v>
      </c>
      <c r="R316" s="6" t="s">
        <v>28</v>
      </c>
      <c r="S316" s="6" t="s">
        <v>44</v>
      </c>
      <c r="T316" s="14">
        <v>4.4900000000000002E-2</v>
      </c>
      <c r="U316">
        <v>4.49</v>
      </c>
      <c r="V316" t="str">
        <f>IF(fin_table[[#This Row],[Interest Rate(%)]]&gt;4,"high","low")</f>
        <v>high</v>
      </c>
      <c r="W316" s="5">
        <v>41800.81</v>
      </c>
      <c r="X316" s="5">
        <f>fin_table[[#This Row],[Interest Rate]]*fin_table[[#This Row],[Loan Amount]]</f>
        <v>1876.8563690000001</v>
      </c>
      <c r="Y316">
        <v>13</v>
      </c>
      <c r="Z316" s="3">
        <v>508</v>
      </c>
      <c r="AA316" s="3" t="str">
        <f t="shared" si="32"/>
        <v>Poor</v>
      </c>
      <c r="AB316" s="3" cm="1">
        <f t="array" ref="AB316">_xlfn.IFS(fin_table[[#This Row],[Transaction Status]]="Failed", 1, fin_table[[#This Row],[Transaction Status]]="Completed",0,fin_table[[#This Row],[Transaction Status]]="Pending",2)</f>
        <v>0</v>
      </c>
      <c r="AC316" s="3" t="str">
        <f>IF(fin_table[[#This Row],[Loan Defaulters]]=1,"Default", "Good")</f>
        <v>Good</v>
      </c>
      <c r="AD316" s="3">
        <f t="shared" si="33"/>
        <v>1</v>
      </c>
      <c r="AE316" s="4">
        <v>7972.7</v>
      </c>
      <c r="AF316" s="4" t="str">
        <f>IF(fin_table[[#This Row],[Monthly Income]]&lt;3000, "Low Income", IF(fin_table[[#This Row],[Monthly Income]]&lt;=5000, "Middle Income", "High Income"))</f>
        <v>High Income</v>
      </c>
      <c r="AG316" t="s">
        <v>30</v>
      </c>
      <c r="AH316" t="s">
        <v>3636</v>
      </c>
      <c r="AI316" t="str">
        <f t="shared" si="34"/>
        <v>High-Risk</v>
      </c>
    </row>
    <row r="317" spans="1:35" x14ac:dyDescent="0.35">
      <c r="A317" t="s">
        <v>1244</v>
      </c>
      <c r="B317" t="s">
        <v>1245</v>
      </c>
      <c r="C317" t="s">
        <v>1246</v>
      </c>
      <c r="D317" s="1">
        <v>44908</v>
      </c>
      <c r="E317" s="1" t="str">
        <f t="shared" si="28"/>
        <v>13</v>
      </c>
      <c r="F317" s="1" t="str">
        <f t="shared" si="29"/>
        <v>Dec</v>
      </c>
      <c r="G317" s="6" t="s">
        <v>23</v>
      </c>
      <c r="H317" s="5">
        <v>1387.47</v>
      </c>
      <c r="I317" s="5" t="str">
        <f>IF(fin_table[[#This Row],[Account Balance]]&lt;20000,"Active", "Not Active")</f>
        <v>Not Active</v>
      </c>
      <c r="J317" s="5">
        <v>26070.15</v>
      </c>
      <c r="K317" s="5" t="str">
        <f t="shared" si="30"/>
        <v>Medium</v>
      </c>
      <c r="L317" s="6" t="s">
        <v>35</v>
      </c>
      <c r="M317">
        <v>36</v>
      </c>
      <c r="N317" s="6" t="str">
        <f t="shared" si="31"/>
        <v>Middle-Aged</v>
      </c>
      <c r="O317" s="6" t="s">
        <v>25</v>
      </c>
      <c r="P317" s="6" t="s">
        <v>26</v>
      </c>
      <c r="Q317" t="s">
        <v>803</v>
      </c>
      <c r="R317" s="6" t="s">
        <v>38</v>
      </c>
      <c r="S317" s="6" t="s">
        <v>44</v>
      </c>
      <c r="T317" s="14">
        <v>3.7499999999999999E-2</v>
      </c>
      <c r="U317">
        <v>3.75</v>
      </c>
      <c r="V317" t="str">
        <f>IF(fin_table[[#This Row],[Interest Rate(%)]]&gt;4,"high","low")</f>
        <v>low</v>
      </c>
      <c r="W317" s="5">
        <v>30552.84</v>
      </c>
      <c r="X317" s="5">
        <f>fin_table[[#This Row],[Interest Rate]]*fin_table[[#This Row],[Loan Amount]]</f>
        <v>1145.7314999999999</v>
      </c>
      <c r="Y317">
        <v>13</v>
      </c>
      <c r="Z317" s="3">
        <v>714</v>
      </c>
      <c r="AA317" s="3" t="str">
        <f t="shared" si="32"/>
        <v>Good</v>
      </c>
      <c r="AB317" s="3" cm="1">
        <f t="array" ref="AB317">_xlfn.IFS(fin_table[[#This Row],[Transaction Status]]="Failed", 1, fin_table[[#This Row],[Transaction Status]]="Completed",0,fin_table[[#This Row],[Transaction Status]]="Pending",2)</f>
        <v>0</v>
      </c>
      <c r="AC317" s="3" t="str">
        <f>IF(fin_table[[#This Row],[Loan Defaulters]]=1,"Default", "Good")</f>
        <v>Good</v>
      </c>
      <c r="AD317" s="3">
        <f t="shared" si="33"/>
        <v>3</v>
      </c>
      <c r="AE317" s="4">
        <v>3009.66</v>
      </c>
      <c r="AF317" s="4" t="str">
        <f>IF(fin_table[[#This Row],[Monthly Income]]&lt;3000, "Low Income", IF(fin_table[[#This Row],[Monthly Income]]&lt;=5000, "Middle Income", "High Income"))</f>
        <v>Middle Income</v>
      </c>
      <c r="AG317" t="s">
        <v>45</v>
      </c>
      <c r="AH317" t="s">
        <v>3636</v>
      </c>
      <c r="AI317" t="str">
        <f t="shared" si="34"/>
        <v>Low-Risk</v>
      </c>
    </row>
    <row r="318" spans="1:35" x14ac:dyDescent="0.35">
      <c r="A318" t="s">
        <v>1247</v>
      </c>
      <c r="B318" t="s">
        <v>1248</v>
      </c>
      <c r="C318" t="s">
        <v>1249</v>
      </c>
      <c r="D318" s="1">
        <v>44876</v>
      </c>
      <c r="E318" s="1" t="str">
        <f t="shared" si="28"/>
        <v>11</v>
      </c>
      <c r="F318" s="1" t="str">
        <f t="shared" si="29"/>
        <v>Nov</v>
      </c>
      <c r="G318" s="6" t="s">
        <v>56</v>
      </c>
      <c r="H318" s="5">
        <v>8371.25</v>
      </c>
      <c r="I318" s="5" t="str">
        <f>IF(fin_table[[#This Row],[Account Balance]]&lt;20000,"Active", "Not Active")</f>
        <v>Active</v>
      </c>
      <c r="J318" s="5">
        <v>1261.96</v>
      </c>
      <c r="K318" s="5" t="str">
        <f t="shared" si="30"/>
        <v>Low</v>
      </c>
      <c r="L318" s="6" t="s">
        <v>125</v>
      </c>
      <c r="M318">
        <v>40</v>
      </c>
      <c r="N318" s="6" t="str">
        <f t="shared" si="31"/>
        <v>Middle-Aged</v>
      </c>
      <c r="O318" s="6" t="s">
        <v>25</v>
      </c>
      <c r="P318" s="6" t="s">
        <v>50</v>
      </c>
      <c r="Q318" t="s">
        <v>1250</v>
      </c>
      <c r="R318" s="6" t="s">
        <v>52</v>
      </c>
      <c r="S318" s="6" t="s">
        <v>29</v>
      </c>
      <c r="T318" s="14">
        <v>1.4500000000000001E-2</v>
      </c>
      <c r="U318">
        <v>1.45</v>
      </c>
      <c r="V318" t="str">
        <f>IF(fin_table[[#This Row],[Interest Rate(%)]]&gt;4,"high","low")</f>
        <v>low</v>
      </c>
      <c r="W318" s="5">
        <v>26681.654999999999</v>
      </c>
      <c r="X318" s="5">
        <f>fin_table[[#This Row],[Interest Rate]]*fin_table[[#This Row],[Loan Amount]]</f>
        <v>386.88399750000002</v>
      </c>
      <c r="Y318">
        <v>13</v>
      </c>
      <c r="Z318" s="3">
        <v>315</v>
      </c>
      <c r="AA318" s="3" t="str">
        <f t="shared" si="32"/>
        <v>Poor</v>
      </c>
      <c r="AB318" s="3" cm="1">
        <f t="array" ref="AB318">_xlfn.IFS(fin_table[[#This Row],[Transaction Status]]="Failed", 1, fin_table[[#This Row],[Transaction Status]]="Completed",0,fin_table[[#This Row],[Transaction Status]]="Pending",2)</f>
        <v>1</v>
      </c>
      <c r="AC318" s="3" t="str">
        <f>IF(fin_table[[#This Row],[Loan Defaulters]]=1,"Default", "Good")</f>
        <v>Default</v>
      </c>
      <c r="AD318" s="3">
        <f t="shared" si="33"/>
        <v>1</v>
      </c>
      <c r="AE318" s="4">
        <v>14476.45</v>
      </c>
      <c r="AF318" s="4" t="str">
        <f>IF(fin_table[[#This Row],[Monthly Income]]&lt;3000, "Low Income", IF(fin_table[[#This Row],[Monthly Income]]&lt;=5000, "Middle Income", "High Income"))</f>
        <v>High Income</v>
      </c>
      <c r="AG318" t="s">
        <v>63</v>
      </c>
      <c r="AH318" t="s">
        <v>3635</v>
      </c>
      <c r="AI318" t="str">
        <f t="shared" si="34"/>
        <v>Low-Risk</v>
      </c>
    </row>
    <row r="319" spans="1:35" x14ac:dyDescent="0.35">
      <c r="A319" t="s">
        <v>1251</v>
      </c>
      <c r="B319" t="s">
        <v>1252</v>
      </c>
      <c r="C319" t="s">
        <v>1253</v>
      </c>
      <c r="D319" s="1">
        <v>44636</v>
      </c>
      <c r="E319" s="1" t="str">
        <f t="shared" si="28"/>
        <v>16</v>
      </c>
      <c r="F319" s="1" t="str">
        <f t="shared" si="29"/>
        <v>Mar</v>
      </c>
      <c r="G319" s="6" t="s">
        <v>71</v>
      </c>
      <c r="H319" s="5">
        <v>3766.93</v>
      </c>
      <c r="I319" s="5" t="str">
        <f>IF(fin_table[[#This Row],[Account Balance]]&lt;20000,"Active", "Not Active")</f>
        <v>Not Active</v>
      </c>
      <c r="J319" s="5">
        <v>46982.27</v>
      </c>
      <c r="K319" s="5" t="str">
        <f t="shared" si="30"/>
        <v>Medium</v>
      </c>
      <c r="L319" s="6" t="s">
        <v>49</v>
      </c>
      <c r="M319">
        <v>33</v>
      </c>
      <c r="N319" s="6" t="str">
        <f t="shared" si="31"/>
        <v>Adults</v>
      </c>
      <c r="O319" s="6" t="s">
        <v>25</v>
      </c>
      <c r="P319" s="6" t="s">
        <v>36</v>
      </c>
      <c r="Q319" t="s">
        <v>1254</v>
      </c>
      <c r="R319" s="6" t="s">
        <v>52</v>
      </c>
      <c r="S319" s="6" t="s">
        <v>62</v>
      </c>
      <c r="T319" s="14">
        <v>1.5900000000000001E-2</v>
      </c>
      <c r="U319">
        <v>1.59</v>
      </c>
      <c r="V319" t="str">
        <f>IF(fin_table[[#This Row],[Interest Rate(%)]]&gt;4,"high","low")</f>
        <v>low</v>
      </c>
      <c r="W319" s="5">
        <v>12954.06</v>
      </c>
      <c r="X319" s="5">
        <f>fin_table[[#This Row],[Interest Rate]]*fin_table[[#This Row],[Loan Amount]]</f>
        <v>205.96955400000002</v>
      </c>
      <c r="Y319">
        <v>27</v>
      </c>
      <c r="Z319" s="3">
        <v>596</v>
      </c>
      <c r="AA319" s="3" t="str">
        <f t="shared" si="32"/>
        <v>Fair</v>
      </c>
      <c r="AB319" s="3" cm="1">
        <f t="array" ref="AB319">_xlfn.IFS(fin_table[[#This Row],[Transaction Status]]="Failed", 1, fin_table[[#This Row],[Transaction Status]]="Completed",0,fin_table[[#This Row],[Transaction Status]]="Pending",2)</f>
        <v>2</v>
      </c>
      <c r="AC319" s="3" t="str">
        <f>IF(fin_table[[#This Row],[Loan Defaulters]]=1,"Default", "Good")</f>
        <v>Good</v>
      </c>
      <c r="AD319" s="3">
        <f t="shared" si="33"/>
        <v>2</v>
      </c>
      <c r="AE319" s="4">
        <v>13426.9</v>
      </c>
      <c r="AF319" s="4" t="str">
        <f>IF(fin_table[[#This Row],[Monthly Income]]&lt;3000, "Low Income", IF(fin_table[[#This Row],[Monthly Income]]&lt;=5000, "Middle Income", "High Income"))</f>
        <v>High Income</v>
      </c>
      <c r="AG319" t="s">
        <v>63</v>
      </c>
      <c r="AH319" t="s">
        <v>3636</v>
      </c>
      <c r="AI319" t="str">
        <f t="shared" si="34"/>
        <v>Low-Risk</v>
      </c>
    </row>
    <row r="320" spans="1:35" x14ac:dyDescent="0.35">
      <c r="A320" t="s">
        <v>1255</v>
      </c>
      <c r="B320" t="s">
        <v>1256</v>
      </c>
      <c r="C320" t="s">
        <v>1257</v>
      </c>
      <c r="D320" s="1">
        <v>44960</v>
      </c>
      <c r="E320" s="1" t="str">
        <f t="shared" si="28"/>
        <v>03</v>
      </c>
      <c r="F320" s="1" t="str">
        <f t="shared" si="29"/>
        <v>Feb</v>
      </c>
      <c r="G320" s="6" t="s">
        <v>71</v>
      </c>
      <c r="H320" s="5">
        <v>3810.56</v>
      </c>
      <c r="I320" s="5" t="str">
        <f>IF(fin_table[[#This Row],[Account Balance]]&lt;20000,"Active", "Not Active")</f>
        <v>Not Active</v>
      </c>
      <c r="J320" s="5">
        <v>21325.94</v>
      </c>
      <c r="K320" s="5" t="str">
        <f t="shared" si="30"/>
        <v>Medium</v>
      </c>
      <c r="L320" s="6" t="s">
        <v>125</v>
      </c>
      <c r="M320">
        <v>18</v>
      </c>
      <c r="N320" s="6" t="str">
        <f t="shared" si="31"/>
        <v>Young Adults</v>
      </c>
      <c r="O320" s="6" t="s">
        <v>25</v>
      </c>
      <c r="P320" s="6" t="s">
        <v>36</v>
      </c>
      <c r="Q320" t="s">
        <v>605</v>
      </c>
      <c r="R320" s="6" t="s">
        <v>52</v>
      </c>
      <c r="S320" s="6" t="s">
        <v>44</v>
      </c>
      <c r="T320" s="14">
        <v>2.7099999999999999E-2</v>
      </c>
      <c r="U320">
        <v>2.71</v>
      </c>
      <c r="V320" t="str">
        <f>IF(fin_table[[#This Row],[Interest Rate(%)]]&gt;4,"high","low")</f>
        <v>low</v>
      </c>
      <c r="W320" s="5">
        <v>26681.654999999999</v>
      </c>
      <c r="X320" s="5">
        <f>fin_table[[#This Row],[Interest Rate]]*fin_table[[#This Row],[Loan Amount]]</f>
        <v>723.07285049999996</v>
      </c>
      <c r="Y320">
        <v>15</v>
      </c>
      <c r="Z320" s="3">
        <v>519</v>
      </c>
      <c r="AA320" s="3" t="str">
        <f t="shared" si="32"/>
        <v>Poor</v>
      </c>
      <c r="AB320" s="3" cm="1">
        <f t="array" ref="AB320">_xlfn.IFS(fin_table[[#This Row],[Transaction Status]]="Failed", 1, fin_table[[#This Row],[Transaction Status]]="Completed",0,fin_table[[#This Row],[Transaction Status]]="Pending",2)</f>
        <v>0</v>
      </c>
      <c r="AC320" s="3" t="str">
        <f>IF(fin_table[[#This Row],[Loan Defaulters]]=1,"Default", "Good")</f>
        <v>Good</v>
      </c>
      <c r="AD320" s="3">
        <f t="shared" si="33"/>
        <v>1</v>
      </c>
      <c r="AE320" s="4">
        <v>11810.87</v>
      </c>
      <c r="AF320" s="4" t="str">
        <f>IF(fin_table[[#This Row],[Monthly Income]]&lt;3000, "Low Income", IF(fin_table[[#This Row],[Monthly Income]]&lt;=5000, "Middle Income", "High Income"))</f>
        <v>High Income</v>
      </c>
      <c r="AG320" t="s">
        <v>45</v>
      </c>
      <c r="AH320" t="s">
        <v>3635</v>
      </c>
      <c r="AI320" t="str">
        <f t="shared" si="34"/>
        <v>Low-Risk</v>
      </c>
    </row>
    <row r="321" spans="1:35" x14ac:dyDescent="0.35">
      <c r="A321" t="s">
        <v>1258</v>
      </c>
      <c r="B321" t="s">
        <v>1259</v>
      </c>
      <c r="C321" t="s">
        <v>1260</v>
      </c>
      <c r="D321" s="1">
        <v>45083</v>
      </c>
      <c r="E321" s="1" t="str">
        <f t="shared" si="28"/>
        <v>06</v>
      </c>
      <c r="F321" s="1" t="str">
        <f t="shared" si="29"/>
        <v>Jun</v>
      </c>
      <c r="G321" s="6" t="s">
        <v>23</v>
      </c>
      <c r="H321" s="5">
        <v>4792.66</v>
      </c>
      <c r="I321" s="5" t="str">
        <f>IF(fin_table[[#This Row],[Account Balance]]&lt;20000,"Active", "Not Active")</f>
        <v>Not Active</v>
      </c>
      <c r="J321" s="5">
        <v>20714.41</v>
      </c>
      <c r="K321" s="5" t="str">
        <f t="shared" si="30"/>
        <v>Medium</v>
      </c>
      <c r="L321" s="6" t="s">
        <v>49</v>
      </c>
      <c r="M321">
        <v>29</v>
      </c>
      <c r="N321" s="6" t="str">
        <f t="shared" si="31"/>
        <v>Adults</v>
      </c>
      <c r="O321" s="6" t="s">
        <v>42</v>
      </c>
      <c r="P321" s="6" t="s">
        <v>36</v>
      </c>
      <c r="Q321" t="s">
        <v>1074</v>
      </c>
      <c r="R321" s="6" t="s">
        <v>52</v>
      </c>
      <c r="S321" s="6" t="s">
        <v>62</v>
      </c>
      <c r="T321" s="14">
        <v>1.78E-2</v>
      </c>
      <c r="U321">
        <v>1.78</v>
      </c>
      <c r="V321" t="str">
        <f>IF(fin_table[[#This Row],[Interest Rate(%)]]&gt;4,"high","low")</f>
        <v>low</v>
      </c>
      <c r="W321" s="5">
        <v>26681.654999999999</v>
      </c>
      <c r="X321" s="5">
        <f>fin_table[[#This Row],[Interest Rate]]*fin_table[[#This Row],[Loan Amount]]</f>
        <v>474.93345899999997</v>
      </c>
      <c r="Y321">
        <v>28</v>
      </c>
      <c r="Z321" s="3">
        <v>666</v>
      </c>
      <c r="AA321" s="3" t="str">
        <f t="shared" si="32"/>
        <v>Fair</v>
      </c>
      <c r="AB321" s="3" cm="1">
        <f t="array" ref="AB321">_xlfn.IFS(fin_table[[#This Row],[Transaction Status]]="Failed", 1, fin_table[[#This Row],[Transaction Status]]="Completed",0,fin_table[[#This Row],[Transaction Status]]="Pending",2)</f>
        <v>2</v>
      </c>
      <c r="AC321" s="3" t="str">
        <f>IF(fin_table[[#This Row],[Loan Defaulters]]=1,"Default", "Good")</f>
        <v>Good</v>
      </c>
      <c r="AD321" s="3">
        <f t="shared" si="33"/>
        <v>2</v>
      </c>
      <c r="AE321" s="4">
        <v>14135.15</v>
      </c>
      <c r="AF321" s="4" t="str">
        <f>IF(fin_table[[#This Row],[Monthly Income]]&lt;3000, "Low Income", IF(fin_table[[#This Row],[Monthly Income]]&lt;=5000, "Middle Income", "High Income"))</f>
        <v>High Income</v>
      </c>
      <c r="AG321" t="s">
        <v>30</v>
      </c>
      <c r="AH321" t="s">
        <v>3635</v>
      </c>
      <c r="AI321" t="str">
        <f t="shared" si="34"/>
        <v>Low-Risk</v>
      </c>
    </row>
    <row r="322" spans="1:35" x14ac:dyDescent="0.35">
      <c r="A322" t="s">
        <v>1261</v>
      </c>
      <c r="B322" t="s">
        <v>1262</v>
      </c>
      <c r="C322" t="s">
        <v>1263</v>
      </c>
      <c r="D322" s="1">
        <v>44853</v>
      </c>
      <c r="E322" s="1" t="str">
        <f t="shared" ref="E322:E385" si="35">TEXT(D322, "DD")</f>
        <v>19</v>
      </c>
      <c r="F322" s="1" t="str">
        <f t="shared" ref="F322:F385" si="36">TEXT(D322, "MMM")</f>
        <v>Oct</v>
      </c>
      <c r="G322" s="6" t="s">
        <v>71</v>
      </c>
      <c r="H322" s="5">
        <v>4496.8599999999997</v>
      </c>
      <c r="I322" s="5" t="str">
        <f>IF(fin_table[[#This Row],[Account Balance]]&lt;20000,"Active", "Not Active")</f>
        <v>Not Active</v>
      </c>
      <c r="J322" s="5">
        <v>20139.09</v>
      </c>
      <c r="K322" s="5" t="str">
        <f t="shared" ref="K322:K385" si="37">IF(J322&lt;10000, "Low", IF(J322&lt;50000, "Medium", "High"))</f>
        <v>Medium</v>
      </c>
      <c r="L322" s="6" t="s">
        <v>35</v>
      </c>
      <c r="M322">
        <v>41</v>
      </c>
      <c r="N322" s="6" t="str">
        <f t="shared" ref="N322:N385" si="38">IF(M322&lt;18, "Teenagers", IF(M322&lt;=25, "Young Adults", IF(M322&lt;=35, "Adults", IF(M322&lt;=45, "Middle-Aged", IF(M322&lt;=60, "Older Adults", "Seniors")))))</f>
        <v>Middle-Aged</v>
      </c>
      <c r="O322" s="6" t="s">
        <v>25</v>
      </c>
      <c r="P322" s="6" t="s">
        <v>36</v>
      </c>
      <c r="Q322" t="s">
        <v>1264</v>
      </c>
      <c r="R322" s="6" t="s">
        <v>28</v>
      </c>
      <c r="S322" s="6" t="s">
        <v>62</v>
      </c>
      <c r="T322" s="14">
        <v>1.11E-2</v>
      </c>
      <c r="U322">
        <v>1.1100000000000001</v>
      </c>
      <c r="V322" t="str">
        <f>IF(fin_table[[#This Row],[Interest Rate(%)]]&gt;4,"high","low")</f>
        <v>low</v>
      </c>
      <c r="W322" s="5">
        <v>26681.654999999999</v>
      </c>
      <c r="X322" s="5">
        <f>fin_table[[#This Row],[Interest Rate]]*fin_table[[#This Row],[Loan Amount]]</f>
        <v>296.16637050000003</v>
      </c>
      <c r="Y322">
        <v>17</v>
      </c>
      <c r="Z322" s="3">
        <v>528</v>
      </c>
      <c r="AA322" s="3" t="str">
        <f t="shared" ref="AA322:AA385" si="39">IF(Z322&lt;580, "Poor", IF(Z322&lt;670, "Fair", IF(Z322&lt;740, "Good", IF(Z322&lt;800, "Very Good", "Excellent"))))</f>
        <v>Poor</v>
      </c>
      <c r="AB322" s="3" cm="1">
        <f t="array" ref="AB322">_xlfn.IFS(fin_table[[#This Row],[Transaction Status]]="Failed", 1, fin_table[[#This Row],[Transaction Status]]="Completed",0,fin_table[[#This Row],[Transaction Status]]="Pending",2)</f>
        <v>2</v>
      </c>
      <c r="AC322" s="3" t="str">
        <f>IF(fin_table[[#This Row],[Loan Defaulters]]=1,"Default", "Good")</f>
        <v>Good</v>
      </c>
      <c r="AD322" s="3">
        <f t="shared" ref="AD322:AD385" si="40">IF(AA322="Poor", 1, IF(AA322="Fair", 2, IF(AA322="Good", 3, IF(AA322="Very Good", 4, IF(AA322="Excellent", 5, "")))))</f>
        <v>1</v>
      </c>
      <c r="AE322" s="4">
        <v>4861.68</v>
      </c>
      <c r="AF322" s="4" t="str">
        <f>IF(fin_table[[#This Row],[Monthly Income]]&lt;3000, "Low Income", IF(fin_table[[#This Row],[Monthly Income]]&lt;=5000, "Middle Income", "High Income"))</f>
        <v>Middle Income</v>
      </c>
      <c r="AG322" t="s">
        <v>30</v>
      </c>
      <c r="AH322" t="s">
        <v>3635</v>
      </c>
      <c r="AI322" t="str">
        <f t="shared" ref="AI322:AI385" si="41">IF(AND(W322&gt;33000, Z322&lt;600), "High-Risk", "Low-Risk")</f>
        <v>Low-Risk</v>
      </c>
    </row>
    <row r="323" spans="1:35" x14ac:dyDescent="0.35">
      <c r="A323" t="s">
        <v>1265</v>
      </c>
      <c r="B323" t="s">
        <v>1266</v>
      </c>
      <c r="C323" t="s">
        <v>1267</v>
      </c>
      <c r="D323" s="1">
        <v>44798</v>
      </c>
      <c r="E323" s="1" t="str">
        <f t="shared" si="35"/>
        <v>25</v>
      </c>
      <c r="F323" s="1" t="str">
        <f t="shared" si="36"/>
        <v>Aug</v>
      </c>
      <c r="G323" s="6" t="s">
        <v>34</v>
      </c>
      <c r="H323" s="5">
        <v>9949.09</v>
      </c>
      <c r="I323" s="5" t="str">
        <f>IF(fin_table[[#This Row],[Account Balance]]&lt;20000,"Active", "Not Active")</f>
        <v>Active</v>
      </c>
      <c r="J323" s="5">
        <v>4397.09</v>
      </c>
      <c r="K323" s="5" t="str">
        <f t="shared" si="37"/>
        <v>Low</v>
      </c>
      <c r="L323" s="6" t="s">
        <v>125</v>
      </c>
      <c r="M323">
        <v>51</v>
      </c>
      <c r="N323" s="6" t="str">
        <f t="shared" si="38"/>
        <v>Older Adults</v>
      </c>
      <c r="O323" s="6" t="s">
        <v>42</v>
      </c>
      <c r="P323" s="6" t="s">
        <v>36</v>
      </c>
      <c r="Q323" t="s">
        <v>1268</v>
      </c>
      <c r="R323" s="6" t="s">
        <v>38</v>
      </c>
      <c r="S323" s="6" t="s">
        <v>44</v>
      </c>
      <c r="T323" s="14">
        <v>4.2200000000000001E-2</v>
      </c>
      <c r="U323">
        <v>4.22</v>
      </c>
      <c r="V323" t="str">
        <f>IF(fin_table[[#This Row],[Interest Rate(%)]]&gt;4,"high","low")</f>
        <v>high</v>
      </c>
      <c r="W323" s="5">
        <v>8259</v>
      </c>
      <c r="X323" s="5">
        <f>fin_table[[#This Row],[Interest Rate]]*fin_table[[#This Row],[Loan Amount]]</f>
        <v>348.52980000000002</v>
      </c>
      <c r="Y323">
        <v>11</v>
      </c>
      <c r="Z323" s="3">
        <v>739</v>
      </c>
      <c r="AA323" s="3" t="str">
        <f t="shared" si="39"/>
        <v>Good</v>
      </c>
      <c r="AB323" s="3" cm="1">
        <f t="array" ref="AB323">_xlfn.IFS(fin_table[[#This Row],[Transaction Status]]="Failed", 1, fin_table[[#This Row],[Transaction Status]]="Completed",0,fin_table[[#This Row],[Transaction Status]]="Pending",2)</f>
        <v>0</v>
      </c>
      <c r="AC323" s="3" t="str">
        <f>IF(fin_table[[#This Row],[Loan Defaulters]]=1,"Default", "Good")</f>
        <v>Good</v>
      </c>
      <c r="AD323" s="3">
        <f t="shared" si="40"/>
        <v>3</v>
      </c>
      <c r="AE323" s="4">
        <v>12872.8</v>
      </c>
      <c r="AF323" s="4" t="str">
        <f>IF(fin_table[[#This Row],[Monthly Income]]&lt;3000, "Low Income", IF(fin_table[[#This Row],[Monthly Income]]&lt;=5000, "Middle Income", "High Income"))</f>
        <v>High Income</v>
      </c>
      <c r="AG323" t="s">
        <v>45</v>
      </c>
      <c r="AH323" t="s">
        <v>3636</v>
      </c>
      <c r="AI323" t="str">
        <f t="shared" si="41"/>
        <v>Low-Risk</v>
      </c>
    </row>
    <row r="324" spans="1:35" x14ac:dyDescent="0.35">
      <c r="A324" t="s">
        <v>1269</v>
      </c>
      <c r="B324" t="s">
        <v>1270</v>
      </c>
      <c r="C324" t="s">
        <v>1271</v>
      </c>
      <c r="D324" s="1">
        <v>45088</v>
      </c>
      <c r="E324" s="1" t="str">
        <f t="shared" si="35"/>
        <v>11</v>
      </c>
      <c r="F324" s="1" t="str">
        <f t="shared" si="36"/>
        <v>Jun</v>
      </c>
      <c r="G324" s="6" t="s">
        <v>34</v>
      </c>
      <c r="H324" s="5">
        <v>5499.27</v>
      </c>
      <c r="I324" s="5" t="str">
        <f>IF(fin_table[[#This Row],[Account Balance]]&lt;20000,"Active", "Not Active")</f>
        <v>Not Active</v>
      </c>
      <c r="J324" s="5">
        <v>32277.79</v>
      </c>
      <c r="K324" s="5" t="str">
        <f t="shared" si="37"/>
        <v>Medium</v>
      </c>
      <c r="L324" s="6" t="s">
        <v>125</v>
      </c>
      <c r="M324">
        <v>25</v>
      </c>
      <c r="N324" s="6" t="str">
        <f t="shared" si="38"/>
        <v>Young Adults</v>
      </c>
      <c r="O324" s="6" t="s">
        <v>42</v>
      </c>
      <c r="P324" s="6" t="s">
        <v>26</v>
      </c>
      <c r="Q324" t="s">
        <v>1272</v>
      </c>
      <c r="R324" s="6" t="s">
        <v>38</v>
      </c>
      <c r="S324" s="6" t="s">
        <v>62</v>
      </c>
      <c r="T324" s="14">
        <v>1.0800000000000001E-2</v>
      </c>
      <c r="U324">
        <v>1.08</v>
      </c>
      <c r="V324" t="str">
        <f>IF(fin_table[[#This Row],[Interest Rate(%)]]&gt;4,"high","low")</f>
        <v>low</v>
      </c>
      <c r="W324" s="5">
        <v>26681.654999999999</v>
      </c>
      <c r="X324" s="5">
        <f>fin_table[[#This Row],[Interest Rate]]*fin_table[[#This Row],[Loan Amount]]</f>
        <v>288.16187400000001</v>
      </c>
      <c r="Y324">
        <v>5</v>
      </c>
      <c r="Z324" s="3">
        <v>831</v>
      </c>
      <c r="AA324" s="3" t="str">
        <f t="shared" si="39"/>
        <v>Excellent</v>
      </c>
      <c r="AB324" s="3" cm="1">
        <f t="array" ref="AB324">_xlfn.IFS(fin_table[[#This Row],[Transaction Status]]="Failed", 1, fin_table[[#This Row],[Transaction Status]]="Completed",0,fin_table[[#This Row],[Transaction Status]]="Pending",2)</f>
        <v>2</v>
      </c>
      <c r="AC324" s="3" t="str">
        <f>IF(fin_table[[#This Row],[Loan Defaulters]]=1,"Default", "Good")</f>
        <v>Good</v>
      </c>
      <c r="AD324" s="3">
        <f t="shared" si="40"/>
        <v>5</v>
      </c>
      <c r="AE324" s="4">
        <v>10969.89</v>
      </c>
      <c r="AF324" s="4" t="str">
        <f>IF(fin_table[[#This Row],[Monthly Income]]&lt;3000, "Low Income", IF(fin_table[[#This Row],[Monthly Income]]&lt;=5000, "Middle Income", "High Income"))</f>
        <v>High Income</v>
      </c>
      <c r="AG324" t="s">
        <v>63</v>
      </c>
      <c r="AH324" t="s">
        <v>3635</v>
      </c>
      <c r="AI324" t="str">
        <f t="shared" si="41"/>
        <v>Low-Risk</v>
      </c>
    </row>
    <row r="325" spans="1:35" x14ac:dyDescent="0.35">
      <c r="A325" t="s">
        <v>1273</v>
      </c>
      <c r="B325" t="s">
        <v>1274</v>
      </c>
      <c r="C325" t="s">
        <v>1275</v>
      </c>
      <c r="D325" s="1">
        <v>44969</v>
      </c>
      <c r="E325" s="1" t="str">
        <f t="shared" si="35"/>
        <v>12</v>
      </c>
      <c r="F325" s="1" t="str">
        <f t="shared" si="36"/>
        <v>Feb</v>
      </c>
      <c r="G325" s="6" t="s">
        <v>71</v>
      </c>
      <c r="H325" s="5">
        <v>973.2</v>
      </c>
      <c r="I325" s="5" t="str">
        <f>IF(fin_table[[#This Row],[Account Balance]]&lt;20000,"Active", "Not Active")</f>
        <v>Not Active</v>
      </c>
      <c r="J325" s="5">
        <v>36917.18</v>
      </c>
      <c r="K325" s="5" t="str">
        <f t="shared" si="37"/>
        <v>Medium</v>
      </c>
      <c r="L325" s="6" t="s">
        <v>125</v>
      </c>
      <c r="M325">
        <v>35</v>
      </c>
      <c r="N325" s="6" t="str">
        <f t="shared" si="38"/>
        <v>Adults</v>
      </c>
      <c r="O325" s="6" t="s">
        <v>25</v>
      </c>
      <c r="P325" s="6" t="s">
        <v>36</v>
      </c>
      <c r="Q325" t="s">
        <v>84</v>
      </c>
      <c r="R325" s="6" t="s">
        <v>52</v>
      </c>
      <c r="S325" s="6" t="s">
        <v>44</v>
      </c>
      <c r="T325" s="14">
        <v>4.3200000000000002E-2</v>
      </c>
      <c r="U325">
        <v>4.32</v>
      </c>
      <c r="V325" t="str">
        <f>IF(fin_table[[#This Row],[Interest Rate(%)]]&gt;4,"high","low")</f>
        <v>high</v>
      </c>
      <c r="W325" s="5">
        <v>26681.654999999999</v>
      </c>
      <c r="X325" s="5">
        <f>fin_table[[#This Row],[Interest Rate]]*fin_table[[#This Row],[Loan Amount]]</f>
        <v>1152.647496</v>
      </c>
      <c r="Y325">
        <v>13</v>
      </c>
      <c r="Z325" s="3">
        <v>749</v>
      </c>
      <c r="AA325" s="3" t="str">
        <f t="shared" si="39"/>
        <v>Very Good</v>
      </c>
      <c r="AB325" s="3" cm="1">
        <f t="array" ref="AB325">_xlfn.IFS(fin_table[[#This Row],[Transaction Status]]="Failed", 1, fin_table[[#This Row],[Transaction Status]]="Completed",0,fin_table[[#This Row],[Transaction Status]]="Pending",2)</f>
        <v>0</v>
      </c>
      <c r="AC325" s="3" t="str">
        <f>IF(fin_table[[#This Row],[Loan Defaulters]]=1,"Default", "Good")</f>
        <v>Good</v>
      </c>
      <c r="AD325" s="3">
        <f t="shared" si="40"/>
        <v>4</v>
      </c>
      <c r="AE325" s="4">
        <v>13306.87</v>
      </c>
      <c r="AF325" s="4" t="str">
        <f>IF(fin_table[[#This Row],[Monthly Income]]&lt;3000, "Low Income", IF(fin_table[[#This Row],[Monthly Income]]&lt;=5000, "Middle Income", "High Income"))</f>
        <v>High Income</v>
      </c>
      <c r="AG325" t="s">
        <v>45</v>
      </c>
      <c r="AH325" t="s">
        <v>3635</v>
      </c>
      <c r="AI325" t="str">
        <f t="shared" si="41"/>
        <v>Low-Risk</v>
      </c>
    </row>
    <row r="326" spans="1:35" x14ac:dyDescent="0.35">
      <c r="A326" t="s">
        <v>1276</v>
      </c>
      <c r="B326" t="s">
        <v>1277</v>
      </c>
      <c r="C326" t="s">
        <v>1278</v>
      </c>
      <c r="D326" s="1">
        <v>45045</v>
      </c>
      <c r="E326" s="1" t="str">
        <f t="shared" si="35"/>
        <v>29</v>
      </c>
      <c r="F326" s="1" t="str">
        <f t="shared" si="36"/>
        <v>Apr</v>
      </c>
      <c r="G326" s="6" t="s">
        <v>34</v>
      </c>
      <c r="H326" s="5">
        <v>6108.09</v>
      </c>
      <c r="I326" s="5" t="str">
        <f>IF(fin_table[[#This Row],[Account Balance]]&lt;20000,"Active", "Not Active")</f>
        <v>Not Active</v>
      </c>
      <c r="J326" s="5">
        <v>34130.14</v>
      </c>
      <c r="K326" s="5" t="str">
        <f t="shared" si="37"/>
        <v>Medium</v>
      </c>
      <c r="L326" s="6" t="s">
        <v>49</v>
      </c>
      <c r="M326">
        <v>65</v>
      </c>
      <c r="N326" s="6" t="str">
        <f t="shared" si="38"/>
        <v>Seniors</v>
      </c>
      <c r="O326" s="6" t="s">
        <v>25</v>
      </c>
      <c r="P326" s="6" t="s">
        <v>36</v>
      </c>
      <c r="Q326" t="s">
        <v>150</v>
      </c>
      <c r="R326" s="6" t="s">
        <v>28</v>
      </c>
      <c r="S326" s="6" t="s">
        <v>62</v>
      </c>
      <c r="T326" s="14">
        <v>1.5800000000000002E-2</v>
      </c>
      <c r="U326">
        <v>1.58</v>
      </c>
      <c r="V326" t="str">
        <f>IF(fin_table[[#This Row],[Interest Rate(%)]]&gt;4,"high","low")</f>
        <v>low</v>
      </c>
      <c r="W326" s="5">
        <v>29922.81</v>
      </c>
      <c r="X326" s="5">
        <f>fin_table[[#This Row],[Interest Rate]]*fin_table[[#This Row],[Loan Amount]]</f>
        <v>472.78039800000005</v>
      </c>
      <c r="Y326">
        <v>15</v>
      </c>
      <c r="Z326" s="3">
        <v>335</v>
      </c>
      <c r="AA326" s="3" t="str">
        <f t="shared" si="39"/>
        <v>Poor</v>
      </c>
      <c r="AB326" s="3" cm="1">
        <f t="array" ref="AB326">_xlfn.IFS(fin_table[[#This Row],[Transaction Status]]="Failed", 1, fin_table[[#This Row],[Transaction Status]]="Completed",0,fin_table[[#This Row],[Transaction Status]]="Pending",2)</f>
        <v>2</v>
      </c>
      <c r="AC326" s="3" t="str">
        <f>IF(fin_table[[#This Row],[Loan Defaulters]]=1,"Default", "Good")</f>
        <v>Good</v>
      </c>
      <c r="AD326" s="3">
        <f t="shared" si="40"/>
        <v>1</v>
      </c>
      <c r="AE326" s="4">
        <v>12359.85</v>
      </c>
      <c r="AF326" s="4" t="str">
        <f>IF(fin_table[[#This Row],[Monthly Income]]&lt;3000, "Low Income", IF(fin_table[[#This Row],[Monthly Income]]&lt;=5000, "Middle Income", "High Income"))</f>
        <v>High Income</v>
      </c>
      <c r="AG326" t="s">
        <v>63</v>
      </c>
      <c r="AH326" t="s">
        <v>3636</v>
      </c>
      <c r="AI326" t="str">
        <f t="shared" si="41"/>
        <v>Low-Risk</v>
      </c>
    </row>
    <row r="327" spans="1:35" x14ac:dyDescent="0.35">
      <c r="A327" t="s">
        <v>1279</v>
      </c>
      <c r="B327" t="s">
        <v>1280</v>
      </c>
      <c r="C327" t="s">
        <v>1281</v>
      </c>
      <c r="D327" s="1">
        <v>45066</v>
      </c>
      <c r="E327" s="1" t="str">
        <f t="shared" si="35"/>
        <v>20</v>
      </c>
      <c r="F327" s="1" t="str">
        <f t="shared" si="36"/>
        <v>May</v>
      </c>
      <c r="G327" s="6" t="s">
        <v>71</v>
      </c>
      <c r="H327" s="5">
        <v>1600.68</v>
      </c>
      <c r="I327" s="5" t="str">
        <f>IF(fin_table[[#This Row],[Account Balance]]&lt;20000,"Active", "Not Active")</f>
        <v>Active</v>
      </c>
      <c r="J327" s="5">
        <v>7783.34</v>
      </c>
      <c r="K327" s="5" t="str">
        <f t="shared" si="37"/>
        <v>Low</v>
      </c>
      <c r="L327" s="6" t="s">
        <v>24</v>
      </c>
      <c r="M327">
        <v>22</v>
      </c>
      <c r="N327" s="6" t="str">
        <f t="shared" si="38"/>
        <v>Young Adults</v>
      </c>
      <c r="O327" s="6" t="s">
        <v>42</v>
      </c>
      <c r="P327" s="6" t="s">
        <v>36</v>
      </c>
      <c r="Q327" t="s">
        <v>1282</v>
      </c>
      <c r="R327" s="6" t="s">
        <v>52</v>
      </c>
      <c r="S327" s="6" t="s">
        <v>44</v>
      </c>
      <c r="T327" s="14">
        <v>4.9000000000000002E-2</v>
      </c>
      <c r="U327">
        <v>4.9000000000000002E-2</v>
      </c>
      <c r="V327" t="str">
        <f>IF(fin_table[[#This Row],[Interest Rate(%)]]&gt;4,"high","low")</f>
        <v>low</v>
      </c>
      <c r="W327" s="5">
        <v>26681.654999999999</v>
      </c>
      <c r="X327" s="5">
        <f>fin_table[[#This Row],[Interest Rate]]*fin_table[[#This Row],[Loan Amount]]</f>
        <v>1307.4010949999999</v>
      </c>
      <c r="Y327">
        <v>10</v>
      </c>
      <c r="Z327" s="3">
        <v>721</v>
      </c>
      <c r="AA327" s="3" t="str">
        <f t="shared" si="39"/>
        <v>Good</v>
      </c>
      <c r="AB327" s="3" cm="1">
        <f t="array" ref="AB327">_xlfn.IFS(fin_table[[#This Row],[Transaction Status]]="Failed", 1, fin_table[[#This Row],[Transaction Status]]="Completed",0,fin_table[[#This Row],[Transaction Status]]="Pending",2)</f>
        <v>0</v>
      </c>
      <c r="AC327" s="3" t="str">
        <f>IF(fin_table[[#This Row],[Loan Defaulters]]=1,"Default", "Good")</f>
        <v>Good</v>
      </c>
      <c r="AD327" s="3">
        <f t="shared" si="40"/>
        <v>3</v>
      </c>
      <c r="AE327" s="4">
        <v>6504.44</v>
      </c>
      <c r="AF327" s="4" t="str">
        <f>IF(fin_table[[#This Row],[Monthly Income]]&lt;3000, "Low Income", IF(fin_table[[#This Row],[Monthly Income]]&lt;=5000, "Middle Income", "High Income"))</f>
        <v>High Income</v>
      </c>
      <c r="AG327" t="s">
        <v>63</v>
      </c>
      <c r="AH327" t="s">
        <v>3635</v>
      </c>
      <c r="AI327" t="str">
        <f t="shared" si="41"/>
        <v>Low-Risk</v>
      </c>
    </row>
    <row r="328" spans="1:35" x14ac:dyDescent="0.35">
      <c r="A328" t="s">
        <v>1283</v>
      </c>
      <c r="B328" t="s">
        <v>1284</v>
      </c>
      <c r="C328" t="s">
        <v>1285</v>
      </c>
      <c r="D328" s="1">
        <v>44688</v>
      </c>
      <c r="E328" s="1" t="str">
        <f t="shared" si="35"/>
        <v>07</v>
      </c>
      <c r="F328" s="1" t="str">
        <f t="shared" si="36"/>
        <v>May</v>
      </c>
      <c r="G328" s="6" t="s">
        <v>71</v>
      </c>
      <c r="H328" s="5">
        <v>406.28</v>
      </c>
      <c r="I328" s="5" t="str">
        <f>IF(fin_table[[#This Row],[Account Balance]]&lt;20000,"Active", "Not Active")</f>
        <v>Not Active</v>
      </c>
      <c r="J328" s="5">
        <v>29363.17</v>
      </c>
      <c r="K328" s="5" t="str">
        <f t="shared" si="37"/>
        <v>Medium</v>
      </c>
      <c r="L328" s="6" t="s">
        <v>35</v>
      </c>
      <c r="M328">
        <v>43</v>
      </c>
      <c r="N328" s="6" t="str">
        <f t="shared" si="38"/>
        <v>Middle-Aged</v>
      </c>
      <c r="O328" s="6" t="s">
        <v>42</v>
      </c>
      <c r="P328" s="6" t="s">
        <v>36</v>
      </c>
      <c r="Q328" t="s">
        <v>1286</v>
      </c>
      <c r="R328" s="6" t="s">
        <v>52</v>
      </c>
      <c r="S328" s="6" t="s">
        <v>29</v>
      </c>
      <c r="T328" s="14">
        <v>3.4200000000000001E-2</v>
      </c>
      <c r="U328">
        <v>3.42</v>
      </c>
      <c r="V328" t="str">
        <f>IF(fin_table[[#This Row],[Interest Rate(%)]]&gt;4,"high","low")</f>
        <v>low</v>
      </c>
      <c r="W328" s="5">
        <v>26681.654999999999</v>
      </c>
      <c r="X328" s="5">
        <f>fin_table[[#This Row],[Interest Rate]]*fin_table[[#This Row],[Loan Amount]]</f>
        <v>912.51260100000002</v>
      </c>
      <c r="Y328">
        <v>14</v>
      </c>
      <c r="Z328" s="3">
        <v>488</v>
      </c>
      <c r="AA328" s="3" t="str">
        <f t="shared" si="39"/>
        <v>Poor</v>
      </c>
      <c r="AB328" s="3" cm="1">
        <f t="array" ref="AB328">_xlfn.IFS(fin_table[[#This Row],[Transaction Status]]="Failed", 1, fin_table[[#This Row],[Transaction Status]]="Completed",0,fin_table[[#This Row],[Transaction Status]]="Pending",2)</f>
        <v>1</v>
      </c>
      <c r="AC328" s="3" t="str">
        <f>IF(fin_table[[#This Row],[Loan Defaulters]]=1,"Default", "Good")</f>
        <v>Default</v>
      </c>
      <c r="AD328" s="3">
        <f t="shared" si="40"/>
        <v>1</v>
      </c>
      <c r="AE328" s="4">
        <v>12067.18</v>
      </c>
      <c r="AF328" s="4" t="str">
        <f>IF(fin_table[[#This Row],[Monthly Income]]&lt;3000, "Low Income", IF(fin_table[[#This Row],[Monthly Income]]&lt;=5000, "Middle Income", "High Income"))</f>
        <v>High Income</v>
      </c>
      <c r="AG328" t="s">
        <v>63</v>
      </c>
      <c r="AH328" t="s">
        <v>3635</v>
      </c>
      <c r="AI328" t="str">
        <f t="shared" si="41"/>
        <v>Low-Risk</v>
      </c>
    </row>
    <row r="329" spans="1:35" x14ac:dyDescent="0.35">
      <c r="A329" t="s">
        <v>1287</v>
      </c>
      <c r="B329" t="s">
        <v>1288</v>
      </c>
      <c r="C329" t="s">
        <v>1289</v>
      </c>
      <c r="D329" s="1">
        <v>44714</v>
      </c>
      <c r="E329" s="1" t="str">
        <f t="shared" si="35"/>
        <v>02</v>
      </c>
      <c r="F329" s="1" t="str">
        <f t="shared" si="36"/>
        <v>Jun</v>
      </c>
      <c r="G329" s="6" t="s">
        <v>71</v>
      </c>
      <c r="H329" s="5">
        <v>9710.35</v>
      </c>
      <c r="I329" s="5" t="str">
        <f>IF(fin_table[[#This Row],[Account Balance]]&lt;20000,"Active", "Not Active")</f>
        <v>Not Active</v>
      </c>
      <c r="J329" s="5">
        <v>28904.74</v>
      </c>
      <c r="K329" s="5" t="str">
        <f t="shared" si="37"/>
        <v>Medium</v>
      </c>
      <c r="L329" s="6" t="s">
        <v>125</v>
      </c>
      <c r="M329">
        <v>47</v>
      </c>
      <c r="N329" s="6" t="str">
        <f t="shared" si="38"/>
        <v>Older Adults</v>
      </c>
      <c r="O329" s="6" t="s">
        <v>25</v>
      </c>
      <c r="P329" s="6" t="s">
        <v>50</v>
      </c>
      <c r="Q329" t="s">
        <v>1290</v>
      </c>
      <c r="R329" s="6" t="s">
        <v>28</v>
      </c>
      <c r="S329" s="6" t="s">
        <v>44</v>
      </c>
      <c r="T329" s="14">
        <v>3.9399999999999998E-2</v>
      </c>
      <c r="U329">
        <v>3.94</v>
      </c>
      <c r="V329" t="str">
        <f>IF(fin_table[[#This Row],[Interest Rate(%)]]&gt;4,"high","low")</f>
        <v>low</v>
      </c>
      <c r="W329" s="5">
        <v>26681.654999999999</v>
      </c>
      <c r="X329" s="5">
        <f>fin_table[[#This Row],[Interest Rate]]*fin_table[[#This Row],[Loan Amount]]</f>
        <v>1051.2572069999999</v>
      </c>
      <c r="Y329">
        <v>13</v>
      </c>
      <c r="Z329" s="3">
        <v>477</v>
      </c>
      <c r="AA329" s="3" t="str">
        <f t="shared" si="39"/>
        <v>Poor</v>
      </c>
      <c r="AB329" s="3" cm="1">
        <f t="array" ref="AB329">_xlfn.IFS(fin_table[[#This Row],[Transaction Status]]="Failed", 1, fin_table[[#This Row],[Transaction Status]]="Completed",0,fin_table[[#This Row],[Transaction Status]]="Pending",2)</f>
        <v>0</v>
      </c>
      <c r="AC329" s="3" t="str">
        <f>IF(fin_table[[#This Row],[Loan Defaulters]]=1,"Default", "Good")</f>
        <v>Good</v>
      </c>
      <c r="AD329" s="3">
        <f t="shared" si="40"/>
        <v>1</v>
      </c>
      <c r="AE329" s="4">
        <v>5411.93</v>
      </c>
      <c r="AF329" s="4" t="str">
        <f>IF(fin_table[[#This Row],[Monthly Income]]&lt;3000, "Low Income", IF(fin_table[[#This Row],[Monthly Income]]&lt;=5000, "Middle Income", "High Income"))</f>
        <v>High Income</v>
      </c>
      <c r="AG329" t="s">
        <v>30</v>
      </c>
      <c r="AH329" t="s">
        <v>3635</v>
      </c>
      <c r="AI329" t="str">
        <f t="shared" si="41"/>
        <v>Low-Risk</v>
      </c>
    </row>
    <row r="330" spans="1:35" x14ac:dyDescent="0.35">
      <c r="A330" t="s">
        <v>1291</v>
      </c>
      <c r="B330" t="s">
        <v>1292</v>
      </c>
      <c r="C330" t="s">
        <v>1293</v>
      </c>
      <c r="D330" s="1">
        <v>44744</v>
      </c>
      <c r="E330" s="1" t="str">
        <f t="shared" si="35"/>
        <v>02</v>
      </c>
      <c r="F330" s="1" t="str">
        <f t="shared" si="36"/>
        <v>Jul</v>
      </c>
      <c r="G330" s="6" t="s">
        <v>23</v>
      </c>
      <c r="H330" s="5">
        <v>7758.04</v>
      </c>
      <c r="I330" s="5" t="str">
        <f>IF(fin_table[[#This Row],[Account Balance]]&lt;20000,"Active", "Not Active")</f>
        <v>Not Active</v>
      </c>
      <c r="J330" s="5">
        <v>43552.13</v>
      </c>
      <c r="K330" s="5" t="str">
        <f t="shared" si="37"/>
        <v>Medium</v>
      </c>
      <c r="L330" s="6" t="s">
        <v>24</v>
      </c>
      <c r="M330">
        <v>30</v>
      </c>
      <c r="N330" s="6" t="str">
        <f t="shared" si="38"/>
        <v>Adults</v>
      </c>
      <c r="O330" s="6" t="s">
        <v>25</v>
      </c>
      <c r="P330" s="6" t="s">
        <v>36</v>
      </c>
      <c r="Q330" t="s">
        <v>1294</v>
      </c>
      <c r="R330" s="6" t="s">
        <v>28</v>
      </c>
      <c r="S330" s="6" t="s">
        <v>44</v>
      </c>
      <c r="T330" s="14">
        <v>1.44E-2</v>
      </c>
      <c r="U330">
        <v>1.44</v>
      </c>
      <c r="V330" t="str">
        <f>IF(fin_table[[#This Row],[Interest Rate(%)]]&gt;4,"high","low")</f>
        <v>low</v>
      </c>
      <c r="W330" s="5">
        <v>29133.43</v>
      </c>
      <c r="X330" s="5">
        <f>fin_table[[#This Row],[Interest Rate]]*fin_table[[#This Row],[Loan Amount]]</f>
        <v>419.52139199999999</v>
      </c>
      <c r="Y330">
        <v>16</v>
      </c>
      <c r="Z330" s="3">
        <v>614</v>
      </c>
      <c r="AA330" s="3" t="str">
        <f t="shared" si="39"/>
        <v>Fair</v>
      </c>
      <c r="AB330" s="3" cm="1">
        <f t="array" ref="AB330">_xlfn.IFS(fin_table[[#This Row],[Transaction Status]]="Failed", 1, fin_table[[#This Row],[Transaction Status]]="Completed",0,fin_table[[#This Row],[Transaction Status]]="Pending",2)</f>
        <v>0</v>
      </c>
      <c r="AC330" s="3" t="str">
        <f>IF(fin_table[[#This Row],[Loan Defaulters]]=1,"Default", "Good")</f>
        <v>Good</v>
      </c>
      <c r="AD330" s="3">
        <f t="shared" si="40"/>
        <v>2</v>
      </c>
      <c r="AE330" s="4">
        <v>6271.7</v>
      </c>
      <c r="AF330" s="4" t="str">
        <f>IF(fin_table[[#This Row],[Monthly Income]]&lt;3000, "Low Income", IF(fin_table[[#This Row],[Monthly Income]]&lt;=5000, "Middle Income", "High Income"))</f>
        <v>High Income</v>
      </c>
      <c r="AG330" t="s">
        <v>30</v>
      </c>
      <c r="AH330" t="s">
        <v>3636</v>
      </c>
      <c r="AI330" t="str">
        <f t="shared" si="41"/>
        <v>Low-Risk</v>
      </c>
    </row>
    <row r="331" spans="1:35" x14ac:dyDescent="0.35">
      <c r="A331" t="s">
        <v>1295</v>
      </c>
      <c r="B331" t="s">
        <v>1296</v>
      </c>
      <c r="C331" t="s">
        <v>1297</v>
      </c>
      <c r="D331" s="1">
        <v>44733</v>
      </c>
      <c r="E331" s="1" t="str">
        <f t="shared" si="35"/>
        <v>21</v>
      </c>
      <c r="F331" s="1" t="str">
        <f t="shared" si="36"/>
        <v>Jun</v>
      </c>
      <c r="G331" s="6" t="s">
        <v>71</v>
      </c>
      <c r="H331" s="5">
        <v>9803.08</v>
      </c>
      <c r="I331" s="5" t="str">
        <f>IF(fin_table[[#This Row],[Account Balance]]&lt;20000,"Active", "Not Active")</f>
        <v>Active</v>
      </c>
      <c r="J331" s="5">
        <v>19577.259999999998</v>
      </c>
      <c r="K331" s="5" t="str">
        <f t="shared" si="37"/>
        <v>Medium</v>
      </c>
      <c r="L331" s="6" t="s">
        <v>35</v>
      </c>
      <c r="M331">
        <v>36</v>
      </c>
      <c r="N331" s="6" t="str">
        <f t="shared" si="38"/>
        <v>Middle-Aged</v>
      </c>
      <c r="O331" s="6" t="s">
        <v>25</v>
      </c>
      <c r="P331" s="6" t="s">
        <v>36</v>
      </c>
      <c r="Q331" t="s">
        <v>1128</v>
      </c>
      <c r="R331" s="6" t="s">
        <v>52</v>
      </c>
      <c r="S331" s="6" t="s">
        <v>44</v>
      </c>
      <c r="T331" s="14">
        <v>4.4499999999999998E-2</v>
      </c>
      <c r="U331">
        <v>4.45</v>
      </c>
      <c r="V331" t="str">
        <f>IF(fin_table[[#This Row],[Interest Rate(%)]]&gt;4,"high","low")</f>
        <v>high</v>
      </c>
      <c r="W331" s="5">
        <v>26681.654999999999</v>
      </c>
      <c r="X331" s="5">
        <f>fin_table[[#This Row],[Interest Rate]]*fin_table[[#This Row],[Loan Amount]]</f>
        <v>1187.3336474999999</v>
      </c>
      <c r="Y331">
        <v>19</v>
      </c>
      <c r="Z331" s="3">
        <v>319</v>
      </c>
      <c r="AA331" s="3" t="str">
        <f t="shared" si="39"/>
        <v>Poor</v>
      </c>
      <c r="AB331" s="3" cm="1">
        <f t="array" ref="AB331">_xlfn.IFS(fin_table[[#This Row],[Transaction Status]]="Failed", 1, fin_table[[#This Row],[Transaction Status]]="Completed",0,fin_table[[#This Row],[Transaction Status]]="Pending",2)</f>
        <v>0</v>
      </c>
      <c r="AC331" s="3" t="str">
        <f>IF(fin_table[[#This Row],[Loan Defaulters]]=1,"Default", "Good")</f>
        <v>Good</v>
      </c>
      <c r="AD331" s="3">
        <f t="shared" si="40"/>
        <v>1</v>
      </c>
      <c r="AE331" s="4">
        <v>3402.77</v>
      </c>
      <c r="AF331" s="4" t="str">
        <f>IF(fin_table[[#This Row],[Monthly Income]]&lt;3000, "Low Income", IF(fin_table[[#This Row],[Monthly Income]]&lt;=5000, "Middle Income", "High Income"))</f>
        <v>Middle Income</v>
      </c>
      <c r="AG331" t="s">
        <v>45</v>
      </c>
      <c r="AH331" t="s">
        <v>3635</v>
      </c>
      <c r="AI331" t="str">
        <f t="shared" si="41"/>
        <v>Low-Risk</v>
      </c>
    </row>
    <row r="332" spans="1:35" x14ac:dyDescent="0.35">
      <c r="A332" t="s">
        <v>1298</v>
      </c>
      <c r="B332" t="s">
        <v>1299</v>
      </c>
      <c r="C332" t="s">
        <v>1300</v>
      </c>
      <c r="D332" s="1">
        <v>45098</v>
      </c>
      <c r="E332" s="1" t="str">
        <f t="shared" si="35"/>
        <v>21</v>
      </c>
      <c r="F332" s="1" t="str">
        <f t="shared" si="36"/>
        <v>Jun</v>
      </c>
      <c r="G332" s="6" t="s">
        <v>23</v>
      </c>
      <c r="H332" s="5">
        <v>4831</v>
      </c>
      <c r="I332" s="5" t="str">
        <f>IF(fin_table[[#This Row],[Account Balance]]&lt;20000,"Active", "Not Active")</f>
        <v>Active</v>
      </c>
      <c r="J332" s="5">
        <v>19202.810000000001</v>
      </c>
      <c r="K332" s="5" t="str">
        <f t="shared" si="37"/>
        <v>Medium</v>
      </c>
      <c r="L332" s="6" t="s">
        <v>35</v>
      </c>
      <c r="M332">
        <v>46</v>
      </c>
      <c r="N332" s="6" t="str">
        <f t="shared" si="38"/>
        <v>Older Adults</v>
      </c>
      <c r="O332" s="6" t="s">
        <v>25</v>
      </c>
      <c r="P332" s="6" t="s">
        <v>26</v>
      </c>
      <c r="Q332" t="s">
        <v>1301</v>
      </c>
      <c r="R332" s="6" t="s">
        <v>38</v>
      </c>
      <c r="S332" s="6" t="s">
        <v>62</v>
      </c>
      <c r="T332" s="14">
        <v>4.36E-2</v>
      </c>
      <c r="U332">
        <v>4.3600000000000003</v>
      </c>
      <c r="V332" t="str">
        <f>IF(fin_table[[#This Row],[Interest Rate(%)]]&gt;4,"high","low")</f>
        <v>high</v>
      </c>
      <c r="W332" s="5">
        <v>26681.654999999999</v>
      </c>
      <c r="X332" s="5">
        <f>fin_table[[#This Row],[Interest Rate]]*fin_table[[#This Row],[Loan Amount]]</f>
        <v>1163.320158</v>
      </c>
      <c r="Y332">
        <v>8</v>
      </c>
      <c r="Z332" s="3">
        <v>681</v>
      </c>
      <c r="AA332" s="3" t="str">
        <f t="shared" si="39"/>
        <v>Good</v>
      </c>
      <c r="AB332" s="3" cm="1">
        <f t="array" ref="AB332">_xlfn.IFS(fin_table[[#This Row],[Transaction Status]]="Failed", 1, fin_table[[#This Row],[Transaction Status]]="Completed",0,fin_table[[#This Row],[Transaction Status]]="Pending",2)</f>
        <v>2</v>
      </c>
      <c r="AC332" s="3" t="str">
        <f>IF(fin_table[[#This Row],[Loan Defaulters]]=1,"Default", "Good")</f>
        <v>Good</v>
      </c>
      <c r="AD332" s="3">
        <f t="shared" si="40"/>
        <v>3</v>
      </c>
      <c r="AE332" s="4">
        <v>14156</v>
      </c>
      <c r="AF332" s="4" t="str">
        <f>IF(fin_table[[#This Row],[Monthly Income]]&lt;3000, "Low Income", IF(fin_table[[#This Row],[Monthly Income]]&lt;=5000, "Middle Income", "High Income"))</f>
        <v>High Income</v>
      </c>
      <c r="AG332" t="s">
        <v>45</v>
      </c>
      <c r="AH332" t="s">
        <v>3635</v>
      </c>
      <c r="AI332" t="str">
        <f t="shared" si="41"/>
        <v>Low-Risk</v>
      </c>
    </row>
    <row r="333" spans="1:35" x14ac:dyDescent="0.35">
      <c r="A333" t="s">
        <v>1302</v>
      </c>
      <c r="B333" t="s">
        <v>1303</v>
      </c>
      <c r="C333" t="s">
        <v>1304</v>
      </c>
      <c r="D333" s="1">
        <v>44612</v>
      </c>
      <c r="E333" s="1" t="str">
        <f t="shared" si="35"/>
        <v>20</v>
      </c>
      <c r="F333" s="1" t="str">
        <f t="shared" si="36"/>
        <v>Feb</v>
      </c>
      <c r="G333" s="6" t="s">
        <v>71</v>
      </c>
      <c r="H333" s="5">
        <v>5369.35</v>
      </c>
      <c r="I333" s="5" t="str">
        <f>IF(fin_table[[#This Row],[Account Balance]]&lt;20000,"Active", "Not Active")</f>
        <v>Not Active</v>
      </c>
      <c r="J333" s="5">
        <v>31307.83</v>
      </c>
      <c r="K333" s="5" t="str">
        <f t="shared" si="37"/>
        <v>Medium</v>
      </c>
      <c r="L333" s="6" t="s">
        <v>125</v>
      </c>
      <c r="M333">
        <v>20</v>
      </c>
      <c r="N333" s="6" t="str">
        <f t="shared" si="38"/>
        <v>Young Adults</v>
      </c>
      <c r="O333" s="6" t="s">
        <v>25</v>
      </c>
      <c r="P333" s="6" t="s">
        <v>50</v>
      </c>
      <c r="Q333" t="s">
        <v>1305</v>
      </c>
      <c r="R333" s="6" t="s">
        <v>52</v>
      </c>
      <c r="S333" s="6" t="s">
        <v>29</v>
      </c>
      <c r="T333" s="14">
        <v>3.61E-2</v>
      </c>
      <c r="U333">
        <v>3.61</v>
      </c>
      <c r="V333" t="str">
        <f>IF(fin_table[[#This Row],[Interest Rate(%)]]&gt;4,"high","low")</f>
        <v>low</v>
      </c>
      <c r="W333" s="5">
        <v>38558.22</v>
      </c>
      <c r="X333" s="5">
        <f>fin_table[[#This Row],[Interest Rate]]*fin_table[[#This Row],[Loan Amount]]</f>
        <v>1391.951742</v>
      </c>
      <c r="Y333">
        <v>13</v>
      </c>
      <c r="Z333" s="3">
        <v>442</v>
      </c>
      <c r="AA333" s="3" t="str">
        <f t="shared" si="39"/>
        <v>Poor</v>
      </c>
      <c r="AB333" s="3" cm="1">
        <f t="array" ref="AB333">_xlfn.IFS(fin_table[[#This Row],[Transaction Status]]="Failed", 1, fin_table[[#This Row],[Transaction Status]]="Completed",0,fin_table[[#This Row],[Transaction Status]]="Pending",2)</f>
        <v>1</v>
      </c>
      <c r="AC333" s="3" t="str">
        <f>IF(fin_table[[#This Row],[Loan Defaulters]]=1,"Default", "Good")</f>
        <v>Default</v>
      </c>
      <c r="AD333" s="3">
        <f t="shared" si="40"/>
        <v>1</v>
      </c>
      <c r="AE333" s="4">
        <v>5783.04</v>
      </c>
      <c r="AF333" s="4" t="str">
        <f>IF(fin_table[[#This Row],[Monthly Income]]&lt;3000, "Low Income", IF(fin_table[[#This Row],[Monthly Income]]&lt;=5000, "Middle Income", "High Income"))</f>
        <v>High Income</v>
      </c>
      <c r="AG333" t="s">
        <v>30</v>
      </c>
      <c r="AH333" t="s">
        <v>3636</v>
      </c>
      <c r="AI333" t="str">
        <f t="shared" si="41"/>
        <v>High-Risk</v>
      </c>
    </row>
    <row r="334" spans="1:35" x14ac:dyDescent="0.35">
      <c r="A334" t="s">
        <v>1306</v>
      </c>
      <c r="B334" t="s">
        <v>1307</v>
      </c>
      <c r="C334" t="s">
        <v>1308</v>
      </c>
      <c r="D334" s="1">
        <v>45057</v>
      </c>
      <c r="E334" s="1" t="str">
        <f t="shared" si="35"/>
        <v>11</v>
      </c>
      <c r="F334" s="1" t="str">
        <f t="shared" si="36"/>
        <v>May</v>
      </c>
      <c r="G334" s="6" t="s">
        <v>71</v>
      </c>
      <c r="H334" s="5">
        <v>1766.54</v>
      </c>
      <c r="I334" s="5" t="str">
        <f>IF(fin_table[[#This Row],[Account Balance]]&lt;20000,"Active", "Not Active")</f>
        <v>Not Active</v>
      </c>
      <c r="J334" s="5">
        <v>32020.560000000001</v>
      </c>
      <c r="K334" s="5" t="str">
        <f t="shared" si="37"/>
        <v>Medium</v>
      </c>
      <c r="L334" s="6" t="s">
        <v>125</v>
      </c>
      <c r="M334">
        <v>43</v>
      </c>
      <c r="N334" s="6" t="str">
        <f t="shared" si="38"/>
        <v>Middle-Aged</v>
      </c>
      <c r="O334" s="6" t="s">
        <v>42</v>
      </c>
      <c r="P334" s="6" t="s">
        <v>26</v>
      </c>
      <c r="Q334" t="s">
        <v>785</v>
      </c>
      <c r="R334" s="6" t="s">
        <v>38</v>
      </c>
      <c r="S334" s="6" t="s">
        <v>62</v>
      </c>
      <c r="T334" s="14">
        <v>3.0099999999999998E-2</v>
      </c>
      <c r="U334">
        <v>3.01</v>
      </c>
      <c r="V334" t="str">
        <f>IF(fin_table[[#This Row],[Interest Rate(%)]]&gt;4,"high","low")</f>
        <v>low</v>
      </c>
      <c r="W334" s="5">
        <v>14237.23</v>
      </c>
      <c r="X334" s="5">
        <f>fin_table[[#This Row],[Interest Rate]]*fin_table[[#This Row],[Loan Amount]]</f>
        <v>428.54062299999998</v>
      </c>
      <c r="Y334">
        <v>10</v>
      </c>
      <c r="Z334" s="3">
        <v>361</v>
      </c>
      <c r="AA334" s="3" t="str">
        <f t="shared" si="39"/>
        <v>Poor</v>
      </c>
      <c r="AB334" s="3" cm="1">
        <f t="array" ref="AB334">_xlfn.IFS(fin_table[[#This Row],[Transaction Status]]="Failed", 1, fin_table[[#This Row],[Transaction Status]]="Completed",0,fin_table[[#This Row],[Transaction Status]]="Pending",2)</f>
        <v>2</v>
      </c>
      <c r="AC334" s="3" t="str">
        <f>IF(fin_table[[#This Row],[Loan Defaulters]]=1,"Default", "Good")</f>
        <v>Good</v>
      </c>
      <c r="AD334" s="3">
        <f t="shared" si="40"/>
        <v>1</v>
      </c>
      <c r="AE334" s="4">
        <v>8768.09</v>
      </c>
      <c r="AF334" s="4" t="str">
        <f>IF(fin_table[[#This Row],[Monthly Income]]&lt;3000, "Low Income", IF(fin_table[[#This Row],[Monthly Income]]&lt;=5000, "Middle Income", "High Income"))</f>
        <v>High Income</v>
      </c>
      <c r="AG334" t="s">
        <v>45</v>
      </c>
      <c r="AH334" t="s">
        <v>3636</v>
      </c>
      <c r="AI334" t="str">
        <f t="shared" si="41"/>
        <v>Low-Risk</v>
      </c>
    </row>
    <row r="335" spans="1:35" x14ac:dyDescent="0.35">
      <c r="A335" t="s">
        <v>1309</v>
      </c>
      <c r="B335" t="s">
        <v>1310</v>
      </c>
      <c r="C335" t="s">
        <v>1311</v>
      </c>
      <c r="D335" s="1">
        <v>45114</v>
      </c>
      <c r="E335" s="1" t="str">
        <f t="shared" si="35"/>
        <v>07</v>
      </c>
      <c r="F335" s="1" t="str">
        <f t="shared" si="36"/>
        <v>Jul</v>
      </c>
      <c r="G335" s="6" t="s">
        <v>71</v>
      </c>
      <c r="H335" s="5">
        <v>2544.38</v>
      </c>
      <c r="I335" s="5" t="str">
        <f>IF(fin_table[[#This Row],[Account Balance]]&lt;20000,"Active", "Not Active")</f>
        <v>Not Active</v>
      </c>
      <c r="J335" s="5">
        <v>23994.98</v>
      </c>
      <c r="K335" s="5" t="str">
        <f t="shared" si="37"/>
        <v>Medium</v>
      </c>
      <c r="L335" s="6" t="s">
        <v>49</v>
      </c>
      <c r="M335">
        <v>57</v>
      </c>
      <c r="N335" s="6" t="str">
        <f t="shared" si="38"/>
        <v>Older Adults</v>
      </c>
      <c r="O335" s="6" t="s">
        <v>25</v>
      </c>
      <c r="P335" s="6" t="s">
        <v>36</v>
      </c>
      <c r="Q335" t="s">
        <v>142</v>
      </c>
      <c r="R335" s="6" t="s">
        <v>38</v>
      </c>
      <c r="S335" s="6" t="s">
        <v>62</v>
      </c>
      <c r="T335" s="14">
        <v>3.8899999999999997E-2</v>
      </c>
      <c r="U335">
        <v>3.89</v>
      </c>
      <c r="V335" t="str">
        <f>IF(fin_table[[#This Row],[Interest Rate(%)]]&gt;4,"high","low")</f>
        <v>low</v>
      </c>
      <c r="W335" s="5">
        <v>26681.654999999999</v>
      </c>
      <c r="X335" s="5">
        <f>fin_table[[#This Row],[Interest Rate]]*fin_table[[#This Row],[Loan Amount]]</f>
        <v>1037.9163794999999</v>
      </c>
      <c r="Y335">
        <v>5</v>
      </c>
      <c r="Z335" s="3">
        <v>541</v>
      </c>
      <c r="AA335" s="3" t="str">
        <f t="shared" si="39"/>
        <v>Poor</v>
      </c>
      <c r="AB335" s="3" cm="1">
        <f t="array" ref="AB335">_xlfn.IFS(fin_table[[#This Row],[Transaction Status]]="Failed", 1, fin_table[[#This Row],[Transaction Status]]="Completed",0,fin_table[[#This Row],[Transaction Status]]="Pending",2)</f>
        <v>2</v>
      </c>
      <c r="AC335" s="3" t="str">
        <f>IF(fin_table[[#This Row],[Loan Defaulters]]=1,"Default", "Good")</f>
        <v>Good</v>
      </c>
      <c r="AD335" s="3">
        <f t="shared" si="40"/>
        <v>1</v>
      </c>
      <c r="AE335" s="4">
        <v>7087.33</v>
      </c>
      <c r="AF335" s="4" t="str">
        <f>IF(fin_table[[#This Row],[Monthly Income]]&lt;3000, "Low Income", IF(fin_table[[#This Row],[Monthly Income]]&lt;=5000, "Middle Income", "High Income"))</f>
        <v>High Income</v>
      </c>
      <c r="AG335" t="s">
        <v>30</v>
      </c>
      <c r="AH335" t="s">
        <v>3635</v>
      </c>
      <c r="AI335" t="str">
        <f t="shared" si="41"/>
        <v>Low-Risk</v>
      </c>
    </row>
    <row r="336" spans="1:35" x14ac:dyDescent="0.35">
      <c r="A336" t="s">
        <v>1312</v>
      </c>
      <c r="B336" t="s">
        <v>1313</v>
      </c>
      <c r="C336" t="s">
        <v>1314</v>
      </c>
      <c r="D336" s="1">
        <v>44693</v>
      </c>
      <c r="E336" s="1" t="str">
        <f t="shared" si="35"/>
        <v>12</v>
      </c>
      <c r="F336" s="1" t="str">
        <f t="shared" si="36"/>
        <v>May</v>
      </c>
      <c r="G336" s="6" t="s">
        <v>34</v>
      </c>
      <c r="H336" s="5">
        <v>8401.64</v>
      </c>
      <c r="I336" s="5" t="str">
        <f>IF(fin_table[[#This Row],[Account Balance]]&lt;20000,"Active", "Not Active")</f>
        <v>Not Active</v>
      </c>
      <c r="J336" s="5">
        <v>22709.91</v>
      </c>
      <c r="K336" s="5" t="str">
        <f t="shared" si="37"/>
        <v>Medium</v>
      </c>
      <c r="L336" s="6" t="s">
        <v>24</v>
      </c>
      <c r="M336">
        <v>29</v>
      </c>
      <c r="N336" s="6" t="str">
        <f t="shared" si="38"/>
        <v>Adults</v>
      </c>
      <c r="O336" s="6" t="s">
        <v>25</v>
      </c>
      <c r="P336" s="6" t="s">
        <v>26</v>
      </c>
      <c r="Q336" t="s">
        <v>1264</v>
      </c>
      <c r="R336" s="6" t="s">
        <v>28</v>
      </c>
      <c r="S336" s="6" t="s">
        <v>44</v>
      </c>
      <c r="T336" s="14">
        <v>1.0200000000000001E-2</v>
      </c>
      <c r="U336">
        <v>1.02</v>
      </c>
      <c r="V336" t="str">
        <f>IF(fin_table[[#This Row],[Interest Rate(%)]]&gt;4,"high","low")</f>
        <v>low</v>
      </c>
      <c r="W336" s="5">
        <v>20574.990000000002</v>
      </c>
      <c r="X336" s="5">
        <f>fin_table[[#This Row],[Interest Rate]]*fin_table[[#This Row],[Loan Amount]]</f>
        <v>209.86489800000004</v>
      </c>
      <c r="Y336">
        <v>13</v>
      </c>
      <c r="Z336" s="3">
        <v>537</v>
      </c>
      <c r="AA336" s="3" t="str">
        <f t="shared" si="39"/>
        <v>Poor</v>
      </c>
      <c r="AB336" s="3" cm="1">
        <f t="array" ref="AB336">_xlfn.IFS(fin_table[[#This Row],[Transaction Status]]="Failed", 1, fin_table[[#This Row],[Transaction Status]]="Completed",0,fin_table[[#This Row],[Transaction Status]]="Pending",2)</f>
        <v>0</v>
      </c>
      <c r="AC336" s="3" t="str">
        <f>IF(fin_table[[#This Row],[Loan Defaulters]]=1,"Default", "Good")</f>
        <v>Good</v>
      </c>
      <c r="AD336" s="3">
        <f t="shared" si="40"/>
        <v>1</v>
      </c>
      <c r="AE336" s="4">
        <v>14479.07</v>
      </c>
      <c r="AF336" s="4" t="str">
        <f>IF(fin_table[[#This Row],[Monthly Income]]&lt;3000, "Low Income", IF(fin_table[[#This Row],[Monthly Income]]&lt;=5000, "Middle Income", "High Income"))</f>
        <v>High Income</v>
      </c>
      <c r="AG336" t="s">
        <v>30</v>
      </c>
      <c r="AH336" t="s">
        <v>3636</v>
      </c>
      <c r="AI336" t="str">
        <f t="shared" si="41"/>
        <v>Low-Risk</v>
      </c>
    </row>
    <row r="337" spans="1:35" x14ac:dyDescent="0.35">
      <c r="A337" t="s">
        <v>1315</v>
      </c>
      <c r="B337" t="s">
        <v>1316</v>
      </c>
      <c r="C337" t="s">
        <v>1317</v>
      </c>
      <c r="D337" s="1">
        <v>45074</v>
      </c>
      <c r="E337" s="1" t="str">
        <f t="shared" si="35"/>
        <v>28</v>
      </c>
      <c r="F337" s="1" t="str">
        <f t="shared" si="36"/>
        <v>May</v>
      </c>
      <c r="G337" s="6" t="s">
        <v>23</v>
      </c>
      <c r="H337" s="5">
        <v>3626.24</v>
      </c>
      <c r="I337" s="5" t="str">
        <f>IF(fin_table[[#This Row],[Account Balance]]&lt;20000,"Active", "Not Active")</f>
        <v>Not Active</v>
      </c>
      <c r="J337" s="5">
        <v>25213.24</v>
      </c>
      <c r="K337" s="5" t="str">
        <f t="shared" si="37"/>
        <v>Medium</v>
      </c>
      <c r="L337" s="6" t="s">
        <v>24</v>
      </c>
      <c r="M337">
        <v>19</v>
      </c>
      <c r="N337" s="6" t="str">
        <f t="shared" si="38"/>
        <v>Young Adults</v>
      </c>
      <c r="O337" s="6" t="s">
        <v>42</v>
      </c>
      <c r="P337" s="6" t="s">
        <v>26</v>
      </c>
      <c r="Q337" t="s">
        <v>1318</v>
      </c>
      <c r="R337" s="6" t="s">
        <v>28</v>
      </c>
      <c r="S337" s="6" t="s">
        <v>62</v>
      </c>
      <c r="T337" s="14">
        <v>3.3700000000000001E-2</v>
      </c>
      <c r="U337">
        <v>3.37</v>
      </c>
      <c r="V337" t="str">
        <f>IF(fin_table[[#This Row],[Interest Rate(%)]]&gt;4,"high","low")</f>
        <v>low</v>
      </c>
      <c r="W337" s="5">
        <v>38602.69</v>
      </c>
      <c r="X337" s="5">
        <f>fin_table[[#This Row],[Interest Rate]]*fin_table[[#This Row],[Loan Amount]]</f>
        <v>1300.9106530000001</v>
      </c>
      <c r="Y337">
        <v>16</v>
      </c>
      <c r="Z337" s="3">
        <v>430</v>
      </c>
      <c r="AA337" s="3" t="str">
        <f t="shared" si="39"/>
        <v>Poor</v>
      </c>
      <c r="AB337" s="3" cm="1">
        <f t="array" ref="AB337">_xlfn.IFS(fin_table[[#This Row],[Transaction Status]]="Failed", 1, fin_table[[#This Row],[Transaction Status]]="Completed",0,fin_table[[#This Row],[Transaction Status]]="Pending",2)</f>
        <v>2</v>
      </c>
      <c r="AC337" s="3" t="str">
        <f>IF(fin_table[[#This Row],[Loan Defaulters]]=1,"Default", "Good")</f>
        <v>Good</v>
      </c>
      <c r="AD337" s="3">
        <f t="shared" si="40"/>
        <v>1</v>
      </c>
      <c r="AE337" s="4">
        <v>6355.64</v>
      </c>
      <c r="AF337" s="4" t="str">
        <f>IF(fin_table[[#This Row],[Monthly Income]]&lt;3000, "Low Income", IF(fin_table[[#This Row],[Monthly Income]]&lt;=5000, "Middle Income", "High Income"))</f>
        <v>High Income</v>
      </c>
      <c r="AG337" t="s">
        <v>63</v>
      </c>
      <c r="AH337" t="s">
        <v>3636</v>
      </c>
      <c r="AI337" t="str">
        <f t="shared" si="41"/>
        <v>High-Risk</v>
      </c>
    </row>
    <row r="338" spans="1:35" x14ac:dyDescent="0.35">
      <c r="A338" t="s">
        <v>1319</v>
      </c>
      <c r="B338" t="s">
        <v>1320</v>
      </c>
      <c r="C338" t="s">
        <v>1321</v>
      </c>
      <c r="D338" s="1">
        <v>44585</v>
      </c>
      <c r="E338" s="1" t="str">
        <f t="shared" si="35"/>
        <v>24</v>
      </c>
      <c r="F338" s="1" t="str">
        <f t="shared" si="36"/>
        <v>Jan</v>
      </c>
      <c r="G338" s="6" t="s">
        <v>23</v>
      </c>
      <c r="H338" s="5">
        <v>8285.4699999999993</v>
      </c>
      <c r="I338" s="5" t="str">
        <f>IF(fin_table[[#This Row],[Account Balance]]&lt;20000,"Active", "Not Active")</f>
        <v>Not Active</v>
      </c>
      <c r="J338" s="5">
        <v>43191.22</v>
      </c>
      <c r="K338" s="5" t="str">
        <f t="shared" si="37"/>
        <v>Medium</v>
      </c>
      <c r="L338" s="6" t="s">
        <v>125</v>
      </c>
      <c r="M338">
        <v>28</v>
      </c>
      <c r="N338" s="6" t="str">
        <f t="shared" si="38"/>
        <v>Adults</v>
      </c>
      <c r="O338" s="6" t="s">
        <v>25</v>
      </c>
      <c r="P338" s="6" t="s">
        <v>36</v>
      </c>
      <c r="Q338" t="s">
        <v>1322</v>
      </c>
      <c r="R338" s="6" t="s">
        <v>52</v>
      </c>
      <c r="S338" s="6" t="s">
        <v>44</v>
      </c>
      <c r="T338" s="14">
        <v>4.3900000000000002E-2</v>
      </c>
      <c r="U338">
        <v>4.3899999999999997</v>
      </c>
      <c r="V338" t="str">
        <f>IF(fin_table[[#This Row],[Interest Rate(%)]]&gt;4,"high","low")</f>
        <v>high</v>
      </c>
      <c r="W338" s="5">
        <v>43111.519999999997</v>
      </c>
      <c r="X338" s="5">
        <f>fin_table[[#This Row],[Interest Rate]]*fin_table[[#This Row],[Loan Amount]]</f>
        <v>1892.595728</v>
      </c>
      <c r="Y338">
        <v>13</v>
      </c>
      <c r="Z338" s="3">
        <v>422</v>
      </c>
      <c r="AA338" s="3" t="str">
        <f t="shared" si="39"/>
        <v>Poor</v>
      </c>
      <c r="AB338" s="3" cm="1">
        <f t="array" ref="AB338">_xlfn.IFS(fin_table[[#This Row],[Transaction Status]]="Failed", 1, fin_table[[#This Row],[Transaction Status]]="Completed",0,fin_table[[#This Row],[Transaction Status]]="Pending",2)</f>
        <v>0</v>
      </c>
      <c r="AC338" s="3" t="str">
        <f>IF(fin_table[[#This Row],[Loan Defaulters]]=1,"Default", "Good")</f>
        <v>Good</v>
      </c>
      <c r="AD338" s="3">
        <f t="shared" si="40"/>
        <v>1</v>
      </c>
      <c r="AE338" s="4">
        <v>12121.1</v>
      </c>
      <c r="AF338" s="4" t="str">
        <f>IF(fin_table[[#This Row],[Monthly Income]]&lt;3000, "Low Income", IF(fin_table[[#This Row],[Monthly Income]]&lt;=5000, "Middle Income", "High Income"))</f>
        <v>High Income</v>
      </c>
      <c r="AG338" t="s">
        <v>63</v>
      </c>
      <c r="AH338" t="s">
        <v>3636</v>
      </c>
      <c r="AI338" t="str">
        <f t="shared" si="41"/>
        <v>High-Risk</v>
      </c>
    </row>
    <row r="339" spans="1:35" x14ac:dyDescent="0.35">
      <c r="A339" t="s">
        <v>1323</v>
      </c>
      <c r="B339" t="s">
        <v>1324</v>
      </c>
      <c r="C339" t="s">
        <v>1325</v>
      </c>
      <c r="D339" s="1">
        <v>44649</v>
      </c>
      <c r="E339" s="1" t="str">
        <f t="shared" si="35"/>
        <v>29</v>
      </c>
      <c r="F339" s="1" t="str">
        <f t="shared" si="36"/>
        <v>Mar</v>
      </c>
      <c r="G339" s="6" t="s">
        <v>71</v>
      </c>
      <c r="H339" s="5">
        <v>7119.24</v>
      </c>
      <c r="I339" s="5" t="str">
        <f>IF(fin_table[[#This Row],[Account Balance]]&lt;20000,"Active", "Not Active")</f>
        <v>Not Active</v>
      </c>
      <c r="J339" s="5">
        <v>23597.18</v>
      </c>
      <c r="K339" s="5" t="str">
        <f t="shared" si="37"/>
        <v>Medium</v>
      </c>
      <c r="L339" s="6" t="s">
        <v>35</v>
      </c>
      <c r="M339">
        <v>61</v>
      </c>
      <c r="N339" s="6" t="str">
        <f t="shared" si="38"/>
        <v>Seniors</v>
      </c>
      <c r="O339" s="6" t="s">
        <v>25</v>
      </c>
      <c r="P339" s="6" t="s">
        <v>50</v>
      </c>
      <c r="Q339" t="s">
        <v>1326</v>
      </c>
      <c r="R339" s="6" t="s">
        <v>38</v>
      </c>
      <c r="S339" s="6" t="s">
        <v>29</v>
      </c>
      <c r="T339" s="14">
        <v>2.4299999999999999E-2</v>
      </c>
      <c r="U339">
        <v>2.4300000000000002</v>
      </c>
      <c r="V339" t="str">
        <f>IF(fin_table[[#This Row],[Interest Rate(%)]]&gt;4,"high","low")</f>
        <v>low</v>
      </c>
      <c r="W339" s="5">
        <v>21937.48</v>
      </c>
      <c r="X339" s="5">
        <f>fin_table[[#This Row],[Interest Rate]]*fin_table[[#This Row],[Loan Amount]]</f>
        <v>533.08076399999993</v>
      </c>
      <c r="Y339">
        <v>26</v>
      </c>
      <c r="Z339" s="3">
        <v>739</v>
      </c>
      <c r="AA339" s="3" t="str">
        <f t="shared" si="39"/>
        <v>Good</v>
      </c>
      <c r="AB339" s="3" cm="1">
        <f t="array" ref="AB339">_xlfn.IFS(fin_table[[#This Row],[Transaction Status]]="Failed", 1, fin_table[[#This Row],[Transaction Status]]="Completed",0,fin_table[[#This Row],[Transaction Status]]="Pending",2)</f>
        <v>1</v>
      </c>
      <c r="AC339" s="3" t="str">
        <f>IF(fin_table[[#This Row],[Loan Defaulters]]=1,"Default", "Good")</f>
        <v>Default</v>
      </c>
      <c r="AD339" s="3">
        <f t="shared" si="40"/>
        <v>3</v>
      </c>
      <c r="AE339" s="4">
        <v>13120.41</v>
      </c>
      <c r="AF339" s="4" t="str">
        <f>IF(fin_table[[#This Row],[Monthly Income]]&lt;3000, "Low Income", IF(fin_table[[#This Row],[Monthly Income]]&lt;=5000, "Middle Income", "High Income"))</f>
        <v>High Income</v>
      </c>
      <c r="AG339" t="s">
        <v>30</v>
      </c>
      <c r="AH339" t="s">
        <v>3636</v>
      </c>
      <c r="AI339" t="str">
        <f t="shared" si="41"/>
        <v>Low-Risk</v>
      </c>
    </row>
    <row r="340" spans="1:35" x14ac:dyDescent="0.35">
      <c r="A340" t="s">
        <v>1327</v>
      </c>
      <c r="B340" t="s">
        <v>1328</v>
      </c>
      <c r="C340" t="s">
        <v>1329</v>
      </c>
      <c r="D340" s="1">
        <v>45067</v>
      </c>
      <c r="E340" s="1" t="str">
        <f t="shared" si="35"/>
        <v>21</v>
      </c>
      <c r="F340" s="1" t="str">
        <f t="shared" si="36"/>
        <v>May</v>
      </c>
      <c r="G340" s="6" t="s">
        <v>71</v>
      </c>
      <c r="H340" s="5">
        <v>1853.99</v>
      </c>
      <c r="I340" s="5" t="str">
        <f>IF(fin_table[[#This Row],[Account Balance]]&lt;20000,"Active", "Not Active")</f>
        <v>Not Active</v>
      </c>
      <c r="J340" s="5">
        <v>47056.66</v>
      </c>
      <c r="K340" s="5" t="str">
        <f t="shared" si="37"/>
        <v>Medium</v>
      </c>
      <c r="L340" s="6" t="s">
        <v>125</v>
      </c>
      <c r="M340">
        <v>45</v>
      </c>
      <c r="N340" s="6" t="str">
        <f t="shared" si="38"/>
        <v>Middle-Aged</v>
      </c>
      <c r="O340" s="6" t="s">
        <v>42</v>
      </c>
      <c r="P340" s="6" t="s">
        <v>50</v>
      </c>
      <c r="Q340" t="s">
        <v>1330</v>
      </c>
      <c r="R340" s="6" t="s">
        <v>38</v>
      </c>
      <c r="S340" s="6" t="s">
        <v>62</v>
      </c>
      <c r="T340" s="14">
        <v>1.43E-2</v>
      </c>
      <c r="U340">
        <v>1.43</v>
      </c>
      <c r="V340" t="str">
        <f>IF(fin_table[[#This Row],[Interest Rate(%)]]&gt;4,"high","low")</f>
        <v>low</v>
      </c>
      <c r="W340" s="5">
        <v>18347.939999999999</v>
      </c>
      <c r="X340" s="5">
        <f>fin_table[[#This Row],[Interest Rate]]*fin_table[[#This Row],[Loan Amount]]</f>
        <v>262.375542</v>
      </c>
      <c r="Y340">
        <v>13</v>
      </c>
      <c r="Z340" s="3">
        <v>641</v>
      </c>
      <c r="AA340" s="3" t="str">
        <f t="shared" si="39"/>
        <v>Fair</v>
      </c>
      <c r="AB340" s="3" cm="1">
        <f t="array" ref="AB340">_xlfn.IFS(fin_table[[#This Row],[Transaction Status]]="Failed", 1, fin_table[[#This Row],[Transaction Status]]="Completed",0,fin_table[[#This Row],[Transaction Status]]="Pending",2)</f>
        <v>2</v>
      </c>
      <c r="AC340" s="3" t="str">
        <f>IF(fin_table[[#This Row],[Loan Defaulters]]=1,"Default", "Good")</f>
        <v>Good</v>
      </c>
      <c r="AD340" s="3">
        <f t="shared" si="40"/>
        <v>2</v>
      </c>
      <c r="AE340" s="4">
        <v>7662.88</v>
      </c>
      <c r="AF340" s="4" t="str">
        <f>IF(fin_table[[#This Row],[Monthly Income]]&lt;3000, "Low Income", IF(fin_table[[#This Row],[Monthly Income]]&lt;=5000, "Middle Income", "High Income"))</f>
        <v>High Income</v>
      </c>
      <c r="AG340" t="s">
        <v>63</v>
      </c>
      <c r="AH340" t="s">
        <v>3636</v>
      </c>
      <c r="AI340" t="str">
        <f t="shared" si="41"/>
        <v>Low-Risk</v>
      </c>
    </row>
    <row r="341" spans="1:35" x14ac:dyDescent="0.35">
      <c r="A341" t="s">
        <v>1331</v>
      </c>
      <c r="B341" t="s">
        <v>1332</v>
      </c>
      <c r="C341" t="s">
        <v>1333</v>
      </c>
      <c r="D341" s="1">
        <v>44800</v>
      </c>
      <c r="E341" s="1" t="str">
        <f t="shared" si="35"/>
        <v>27</v>
      </c>
      <c r="F341" s="1" t="str">
        <f t="shared" si="36"/>
        <v>Aug</v>
      </c>
      <c r="G341" s="6" t="s">
        <v>34</v>
      </c>
      <c r="H341" s="5">
        <v>5123.72</v>
      </c>
      <c r="I341" s="5" t="str">
        <f>IF(fin_table[[#This Row],[Account Balance]]&lt;20000,"Active", "Not Active")</f>
        <v>Not Active</v>
      </c>
      <c r="J341" s="5">
        <v>25696.18</v>
      </c>
      <c r="K341" s="5" t="str">
        <f t="shared" si="37"/>
        <v>Medium</v>
      </c>
      <c r="L341" s="6" t="s">
        <v>35</v>
      </c>
      <c r="M341">
        <v>35</v>
      </c>
      <c r="N341" s="6" t="str">
        <f t="shared" si="38"/>
        <v>Adults</v>
      </c>
      <c r="O341" s="6" t="s">
        <v>25</v>
      </c>
      <c r="P341" s="6" t="s">
        <v>26</v>
      </c>
      <c r="Q341" t="s">
        <v>538</v>
      </c>
      <c r="R341" s="6" t="s">
        <v>52</v>
      </c>
      <c r="S341" s="6" t="s">
        <v>62</v>
      </c>
      <c r="T341" s="14">
        <v>2.6800000000000001E-2</v>
      </c>
      <c r="U341">
        <v>2.68</v>
      </c>
      <c r="V341" t="str">
        <f>IF(fin_table[[#This Row],[Interest Rate(%)]]&gt;4,"high","low")</f>
        <v>low</v>
      </c>
      <c r="W341" s="5">
        <v>45025.1</v>
      </c>
      <c r="X341" s="5">
        <f>fin_table[[#This Row],[Interest Rate]]*fin_table[[#This Row],[Loan Amount]]</f>
        <v>1206.6726799999999</v>
      </c>
      <c r="Y341">
        <v>12</v>
      </c>
      <c r="Z341" s="3">
        <v>718</v>
      </c>
      <c r="AA341" s="3" t="str">
        <f t="shared" si="39"/>
        <v>Good</v>
      </c>
      <c r="AB341" s="3" cm="1">
        <f t="array" ref="AB341">_xlfn.IFS(fin_table[[#This Row],[Transaction Status]]="Failed", 1, fin_table[[#This Row],[Transaction Status]]="Completed",0,fin_table[[#This Row],[Transaction Status]]="Pending",2)</f>
        <v>2</v>
      </c>
      <c r="AC341" s="3" t="str">
        <f>IF(fin_table[[#This Row],[Loan Defaulters]]=1,"Default", "Good")</f>
        <v>Good</v>
      </c>
      <c r="AD341" s="3">
        <f t="shared" si="40"/>
        <v>3</v>
      </c>
      <c r="AE341" s="4">
        <v>6916.23</v>
      </c>
      <c r="AF341" s="4" t="str">
        <f>IF(fin_table[[#This Row],[Monthly Income]]&lt;3000, "Low Income", IF(fin_table[[#This Row],[Monthly Income]]&lt;=5000, "Middle Income", "High Income"))</f>
        <v>High Income</v>
      </c>
      <c r="AG341" t="s">
        <v>30</v>
      </c>
      <c r="AH341" t="s">
        <v>3636</v>
      </c>
      <c r="AI341" t="str">
        <f t="shared" si="41"/>
        <v>Low-Risk</v>
      </c>
    </row>
    <row r="342" spans="1:35" x14ac:dyDescent="0.35">
      <c r="A342" t="s">
        <v>1334</v>
      </c>
      <c r="B342" t="s">
        <v>1335</v>
      </c>
      <c r="C342" t="s">
        <v>1336</v>
      </c>
      <c r="D342" s="1">
        <v>44717</v>
      </c>
      <c r="E342" s="1" t="str">
        <f t="shared" si="35"/>
        <v>05</v>
      </c>
      <c r="F342" s="1" t="str">
        <f t="shared" si="36"/>
        <v>Jun</v>
      </c>
      <c r="G342" s="6" t="s">
        <v>34</v>
      </c>
      <c r="H342" s="5">
        <v>6806.13</v>
      </c>
      <c r="I342" s="5" t="str">
        <f>IF(fin_table[[#This Row],[Account Balance]]&lt;20000,"Active", "Not Active")</f>
        <v>Not Active</v>
      </c>
      <c r="J342" s="5">
        <v>47510.83</v>
      </c>
      <c r="K342" s="5" t="str">
        <f t="shared" si="37"/>
        <v>Medium</v>
      </c>
      <c r="L342" s="6" t="s">
        <v>35</v>
      </c>
      <c r="M342">
        <v>30</v>
      </c>
      <c r="N342" s="6" t="str">
        <f t="shared" si="38"/>
        <v>Adults</v>
      </c>
      <c r="O342" s="6" t="s">
        <v>42</v>
      </c>
      <c r="P342" s="6" t="s">
        <v>36</v>
      </c>
      <c r="Q342" t="s">
        <v>1337</v>
      </c>
      <c r="R342" s="6" t="s">
        <v>52</v>
      </c>
      <c r="S342" s="6" t="s">
        <v>62</v>
      </c>
      <c r="T342" s="14">
        <v>3.9100000000000003E-2</v>
      </c>
      <c r="U342">
        <v>3.91</v>
      </c>
      <c r="V342" t="str">
        <f>IF(fin_table[[#This Row],[Interest Rate(%)]]&gt;4,"high","low")</f>
        <v>low</v>
      </c>
      <c r="W342" s="5">
        <v>49971.42</v>
      </c>
      <c r="X342" s="5">
        <f>fin_table[[#This Row],[Interest Rate]]*fin_table[[#This Row],[Loan Amount]]</f>
        <v>1953.8825220000001</v>
      </c>
      <c r="Y342">
        <v>23</v>
      </c>
      <c r="Z342" s="3">
        <v>754</v>
      </c>
      <c r="AA342" s="3" t="str">
        <f t="shared" si="39"/>
        <v>Very Good</v>
      </c>
      <c r="AB342" s="3" cm="1">
        <f t="array" ref="AB342">_xlfn.IFS(fin_table[[#This Row],[Transaction Status]]="Failed", 1, fin_table[[#This Row],[Transaction Status]]="Completed",0,fin_table[[#This Row],[Transaction Status]]="Pending",2)</f>
        <v>2</v>
      </c>
      <c r="AC342" s="3" t="str">
        <f>IF(fin_table[[#This Row],[Loan Defaulters]]=1,"Default", "Good")</f>
        <v>Good</v>
      </c>
      <c r="AD342" s="3">
        <f t="shared" si="40"/>
        <v>4</v>
      </c>
      <c r="AE342" s="4">
        <v>11720.7</v>
      </c>
      <c r="AF342" s="4" t="str">
        <f>IF(fin_table[[#This Row],[Monthly Income]]&lt;3000, "Low Income", IF(fin_table[[#This Row],[Monthly Income]]&lt;=5000, "Middle Income", "High Income"))</f>
        <v>High Income</v>
      </c>
      <c r="AG342" t="s">
        <v>63</v>
      </c>
      <c r="AH342" t="s">
        <v>3636</v>
      </c>
      <c r="AI342" t="str">
        <f t="shared" si="41"/>
        <v>Low-Risk</v>
      </c>
    </row>
    <row r="343" spans="1:35" x14ac:dyDescent="0.35">
      <c r="A343" t="s">
        <v>1338</v>
      </c>
      <c r="B343" t="s">
        <v>1339</v>
      </c>
      <c r="C343" t="s">
        <v>1340</v>
      </c>
      <c r="D343" s="1">
        <v>44709</v>
      </c>
      <c r="E343" s="1" t="str">
        <f t="shared" si="35"/>
        <v>28</v>
      </c>
      <c r="F343" s="1" t="str">
        <f t="shared" si="36"/>
        <v>May</v>
      </c>
      <c r="G343" s="6" t="s">
        <v>34</v>
      </c>
      <c r="H343" s="5">
        <v>2426.87</v>
      </c>
      <c r="I343" s="5" t="str">
        <f>IF(fin_table[[#This Row],[Account Balance]]&lt;20000,"Active", "Not Active")</f>
        <v>Not Active</v>
      </c>
      <c r="J343" s="5">
        <v>41808.76</v>
      </c>
      <c r="K343" s="5" t="str">
        <f t="shared" si="37"/>
        <v>Medium</v>
      </c>
      <c r="L343" s="6" t="s">
        <v>125</v>
      </c>
      <c r="M343">
        <v>54</v>
      </c>
      <c r="N343" s="6" t="str">
        <f t="shared" si="38"/>
        <v>Older Adults</v>
      </c>
      <c r="O343" s="6" t="s">
        <v>25</v>
      </c>
      <c r="P343" s="6" t="s">
        <v>26</v>
      </c>
      <c r="Q343" t="s">
        <v>1341</v>
      </c>
      <c r="R343" s="6" t="s">
        <v>52</v>
      </c>
      <c r="S343" s="6" t="s">
        <v>44</v>
      </c>
      <c r="T343" s="14">
        <v>1.43E-2</v>
      </c>
      <c r="U343">
        <v>1.43</v>
      </c>
      <c r="V343" t="str">
        <f>IF(fin_table[[#This Row],[Interest Rate(%)]]&gt;4,"high","low")</f>
        <v>low</v>
      </c>
      <c r="W343" s="5">
        <v>26681.654999999999</v>
      </c>
      <c r="X343" s="5">
        <f>fin_table[[#This Row],[Interest Rate]]*fin_table[[#This Row],[Loan Amount]]</f>
        <v>381.54766649999999</v>
      </c>
      <c r="Y343">
        <v>13</v>
      </c>
      <c r="Z343" s="3">
        <v>497</v>
      </c>
      <c r="AA343" s="3" t="str">
        <f t="shared" si="39"/>
        <v>Poor</v>
      </c>
      <c r="AB343" s="3" cm="1">
        <f t="array" ref="AB343">_xlfn.IFS(fin_table[[#This Row],[Transaction Status]]="Failed", 1, fin_table[[#This Row],[Transaction Status]]="Completed",0,fin_table[[#This Row],[Transaction Status]]="Pending",2)</f>
        <v>0</v>
      </c>
      <c r="AC343" s="3" t="str">
        <f>IF(fin_table[[#This Row],[Loan Defaulters]]=1,"Default", "Good")</f>
        <v>Good</v>
      </c>
      <c r="AD343" s="3">
        <f t="shared" si="40"/>
        <v>1</v>
      </c>
      <c r="AE343" s="4">
        <v>13867.65</v>
      </c>
      <c r="AF343" s="4" t="str">
        <f>IF(fin_table[[#This Row],[Monthly Income]]&lt;3000, "Low Income", IF(fin_table[[#This Row],[Monthly Income]]&lt;=5000, "Middle Income", "High Income"))</f>
        <v>High Income</v>
      </c>
      <c r="AG343" t="s">
        <v>45</v>
      </c>
      <c r="AH343" t="s">
        <v>3635</v>
      </c>
      <c r="AI343" t="str">
        <f t="shared" si="41"/>
        <v>Low-Risk</v>
      </c>
    </row>
    <row r="344" spans="1:35" x14ac:dyDescent="0.35">
      <c r="A344" t="s">
        <v>1342</v>
      </c>
      <c r="B344" t="s">
        <v>1343</v>
      </c>
      <c r="C344" t="s">
        <v>1344</v>
      </c>
      <c r="D344" s="1">
        <v>44864</v>
      </c>
      <c r="E344" s="1" t="str">
        <f t="shared" si="35"/>
        <v>30</v>
      </c>
      <c r="F344" s="1" t="str">
        <f t="shared" si="36"/>
        <v>Oct</v>
      </c>
      <c r="G344" s="6" t="s">
        <v>23</v>
      </c>
      <c r="H344" s="5">
        <v>8323.82</v>
      </c>
      <c r="I344" s="5" t="str">
        <f>IF(fin_table[[#This Row],[Account Balance]]&lt;20000,"Active", "Not Active")</f>
        <v>Active</v>
      </c>
      <c r="J344" s="5">
        <v>18759.13</v>
      </c>
      <c r="K344" s="5" t="str">
        <f t="shared" si="37"/>
        <v>Medium</v>
      </c>
      <c r="L344" s="6" t="s">
        <v>100</v>
      </c>
      <c r="M344">
        <v>39</v>
      </c>
      <c r="N344" s="6" t="str">
        <f t="shared" si="38"/>
        <v>Middle-Aged</v>
      </c>
      <c r="O344" s="6" t="s">
        <v>25</v>
      </c>
      <c r="P344" s="6" t="s">
        <v>26</v>
      </c>
      <c r="Q344" t="s">
        <v>1093</v>
      </c>
      <c r="R344" s="6" t="s">
        <v>28</v>
      </c>
      <c r="S344" s="6" t="s">
        <v>44</v>
      </c>
      <c r="T344" s="14">
        <v>1.8200000000000001E-2</v>
      </c>
      <c r="U344">
        <v>1.82</v>
      </c>
      <c r="V344" t="str">
        <f>IF(fin_table[[#This Row],[Interest Rate(%)]]&gt;4,"high","low")</f>
        <v>low</v>
      </c>
      <c r="W344" s="5">
        <v>49549.13</v>
      </c>
      <c r="X344" s="5">
        <f>fin_table[[#This Row],[Interest Rate]]*fin_table[[#This Row],[Loan Amount]]</f>
        <v>901.79416600000002</v>
      </c>
      <c r="Y344">
        <v>9</v>
      </c>
      <c r="Z344" s="3">
        <v>581</v>
      </c>
      <c r="AA344" s="3" t="str">
        <f t="shared" si="39"/>
        <v>Fair</v>
      </c>
      <c r="AB344" s="3" cm="1">
        <f t="array" ref="AB344">_xlfn.IFS(fin_table[[#This Row],[Transaction Status]]="Failed", 1, fin_table[[#This Row],[Transaction Status]]="Completed",0,fin_table[[#This Row],[Transaction Status]]="Pending",2)</f>
        <v>0</v>
      </c>
      <c r="AC344" s="3" t="str">
        <f>IF(fin_table[[#This Row],[Loan Defaulters]]=1,"Default", "Good")</f>
        <v>Good</v>
      </c>
      <c r="AD344" s="3">
        <f t="shared" si="40"/>
        <v>2</v>
      </c>
      <c r="AE344" s="4">
        <v>11814.11</v>
      </c>
      <c r="AF344" s="4" t="str">
        <f>IF(fin_table[[#This Row],[Monthly Income]]&lt;3000, "Low Income", IF(fin_table[[#This Row],[Monthly Income]]&lt;=5000, "Middle Income", "High Income"))</f>
        <v>High Income</v>
      </c>
      <c r="AG344" t="s">
        <v>45</v>
      </c>
      <c r="AH344" t="s">
        <v>3636</v>
      </c>
      <c r="AI344" t="str">
        <f t="shared" si="41"/>
        <v>High-Risk</v>
      </c>
    </row>
    <row r="345" spans="1:35" x14ac:dyDescent="0.35">
      <c r="A345" t="s">
        <v>1345</v>
      </c>
      <c r="B345" t="s">
        <v>1346</v>
      </c>
      <c r="C345" t="s">
        <v>1347</v>
      </c>
      <c r="D345" s="1">
        <v>44683</v>
      </c>
      <c r="E345" s="1" t="str">
        <f t="shared" si="35"/>
        <v>02</v>
      </c>
      <c r="F345" s="1" t="str">
        <f t="shared" si="36"/>
        <v>May</v>
      </c>
      <c r="G345" s="6" t="s">
        <v>23</v>
      </c>
      <c r="H345" s="5">
        <v>5493.79</v>
      </c>
      <c r="I345" s="5" t="str">
        <f>IF(fin_table[[#This Row],[Account Balance]]&lt;20000,"Active", "Not Active")</f>
        <v>Not Active</v>
      </c>
      <c r="J345" s="5">
        <v>43318.43</v>
      </c>
      <c r="K345" s="5" t="str">
        <f t="shared" si="37"/>
        <v>Medium</v>
      </c>
      <c r="L345" s="6" t="s">
        <v>24</v>
      </c>
      <c r="M345">
        <v>29</v>
      </c>
      <c r="N345" s="6" t="str">
        <f t="shared" si="38"/>
        <v>Adults</v>
      </c>
      <c r="O345" s="6" t="s">
        <v>25</v>
      </c>
      <c r="P345" s="6" t="s">
        <v>26</v>
      </c>
      <c r="Q345" t="s">
        <v>1348</v>
      </c>
      <c r="R345" s="6" t="s">
        <v>52</v>
      </c>
      <c r="S345" s="6" t="s">
        <v>62</v>
      </c>
      <c r="T345" s="14">
        <v>1.5900000000000001E-2</v>
      </c>
      <c r="U345">
        <v>1.59</v>
      </c>
      <c r="V345" t="str">
        <f>IF(fin_table[[#This Row],[Interest Rate(%)]]&gt;4,"high","low")</f>
        <v>low</v>
      </c>
      <c r="W345" s="5">
        <v>34698.480000000003</v>
      </c>
      <c r="X345" s="5">
        <f>fin_table[[#This Row],[Interest Rate]]*fin_table[[#This Row],[Loan Amount]]</f>
        <v>551.7058320000001</v>
      </c>
      <c r="Y345">
        <v>17</v>
      </c>
      <c r="Z345" s="3">
        <v>300</v>
      </c>
      <c r="AA345" s="3" t="str">
        <f t="shared" si="39"/>
        <v>Poor</v>
      </c>
      <c r="AB345" s="3" cm="1">
        <f t="array" ref="AB345">_xlfn.IFS(fin_table[[#This Row],[Transaction Status]]="Failed", 1, fin_table[[#This Row],[Transaction Status]]="Completed",0,fin_table[[#This Row],[Transaction Status]]="Pending",2)</f>
        <v>2</v>
      </c>
      <c r="AC345" s="3" t="str">
        <f>IF(fin_table[[#This Row],[Loan Defaulters]]=1,"Default", "Good")</f>
        <v>Good</v>
      </c>
      <c r="AD345" s="3">
        <f t="shared" si="40"/>
        <v>1</v>
      </c>
      <c r="AE345" s="4">
        <v>4952.6400000000003</v>
      </c>
      <c r="AF345" s="4" t="str">
        <f>IF(fin_table[[#This Row],[Monthly Income]]&lt;3000, "Low Income", IF(fin_table[[#This Row],[Monthly Income]]&lt;=5000, "Middle Income", "High Income"))</f>
        <v>Middle Income</v>
      </c>
      <c r="AG345" t="s">
        <v>30</v>
      </c>
      <c r="AH345" t="s">
        <v>3636</v>
      </c>
      <c r="AI345" t="str">
        <f t="shared" si="41"/>
        <v>High-Risk</v>
      </c>
    </row>
    <row r="346" spans="1:35" x14ac:dyDescent="0.35">
      <c r="A346" t="s">
        <v>1349</v>
      </c>
      <c r="B346" t="s">
        <v>1350</v>
      </c>
      <c r="C346" t="s">
        <v>1351</v>
      </c>
      <c r="D346" s="1">
        <v>45035</v>
      </c>
      <c r="E346" s="1" t="str">
        <f t="shared" si="35"/>
        <v>19</v>
      </c>
      <c r="F346" s="1" t="str">
        <f t="shared" si="36"/>
        <v>Apr</v>
      </c>
      <c r="G346" s="6" t="s">
        <v>23</v>
      </c>
      <c r="H346" s="5">
        <v>1735.9</v>
      </c>
      <c r="I346" s="5" t="str">
        <f>IF(fin_table[[#This Row],[Account Balance]]&lt;20000,"Active", "Not Active")</f>
        <v>Active</v>
      </c>
      <c r="J346" s="5">
        <v>6393.1</v>
      </c>
      <c r="K346" s="5" t="str">
        <f t="shared" si="37"/>
        <v>Low</v>
      </c>
      <c r="L346" s="6" t="s">
        <v>35</v>
      </c>
      <c r="M346">
        <v>19</v>
      </c>
      <c r="N346" s="6" t="str">
        <f t="shared" si="38"/>
        <v>Young Adults</v>
      </c>
      <c r="O346" s="6" t="s">
        <v>42</v>
      </c>
      <c r="P346" s="6" t="s">
        <v>36</v>
      </c>
      <c r="Q346" t="s">
        <v>1078</v>
      </c>
      <c r="R346" s="6" t="s">
        <v>52</v>
      </c>
      <c r="S346" s="6" t="s">
        <v>62</v>
      </c>
      <c r="T346" s="14">
        <v>4.19E-2</v>
      </c>
      <c r="U346">
        <v>4.1900000000000004</v>
      </c>
      <c r="V346" t="str">
        <f>IF(fin_table[[#This Row],[Interest Rate(%)]]&gt;4,"high","low")</f>
        <v>high</v>
      </c>
      <c r="W346" s="5">
        <v>38005.71</v>
      </c>
      <c r="X346" s="5">
        <f>fin_table[[#This Row],[Interest Rate]]*fin_table[[#This Row],[Loan Amount]]</f>
        <v>1592.439249</v>
      </c>
      <c r="Y346">
        <v>13</v>
      </c>
      <c r="Z346" s="3">
        <v>631</v>
      </c>
      <c r="AA346" s="3" t="str">
        <f t="shared" si="39"/>
        <v>Fair</v>
      </c>
      <c r="AB346" s="3" cm="1">
        <f t="array" ref="AB346">_xlfn.IFS(fin_table[[#This Row],[Transaction Status]]="Failed", 1, fin_table[[#This Row],[Transaction Status]]="Completed",0,fin_table[[#This Row],[Transaction Status]]="Pending",2)</f>
        <v>2</v>
      </c>
      <c r="AC346" s="3" t="str">
        <f>IF(fin_table[[#This Row],[Loan Defaulters]]=1,"Default", "Good")</f>
        <v>Good</v>
      </c>
      <c r="AD346" s="3">
        <f t="shared" si="40"/>
        <v>2</v>
      </c>
      <c r="AE346" s="4">
        <v>13548</v>
      </c>
      <c r="AF346" s="4" t="str">
        <f>IF(fin_table[[#This Row],[Monthly Income]]&lt;3000, "Low Income", IF(fin_table[[#This Row],[Monthly Income]]&lt;=5000, "Middle Income", "High Income"))</f>
        <v>High Income</v>
      </c>
      <c r="AG346" t="s">
        <v>30</v>
      </c>
      <c r="AH346" t="s">
        <v>3636</v>
      </c>
      <c r="AI346" t="str">
        <f t="shared" si="41"/>
        <v>Low-Risk</v>
      </c>
    </row>
    <row r="347" spans="1:35" x14ac:dyDescent="0.35">
      <c r="A347" t="s">
        <v>1352</v>
      </c>
      <c r="B347" t="s">
        <v>1353</v>
      </c>
      <c r="C347" t="s">
        <v>1354</v>
      </c>
      <c r="D347" s="1">
        <v>44883</v>
      </c>
      <c r="E347" s="1" t="str">
        <f t="shared" si="35"/>
        <v>18</v>
      </c>
      <c r="F347" s="1" t="str">
        <f t="shared" si="36"/>
        <v>Nov</v>
      </c>
      <c r="G347" s="6" t="s">
        <v>71</v>
      </c>
      <c r="H347" s="5">
        <v>5871.55</v>
      </c>
      <c r="I347" s="5" t="str">
        <f>IF(fin_table[[#This Row],[Account Balance]]&lt;20000,"Active", "Not Active")</f>
        <v>Not Active</v>
      </c>
      <c r="J347" s="5">
        <v>46327.31</v>
      </c>
      <c r="K347" s="5" t="str">
        <f t="shared" si="37"/>
        <v>Medium</v>
      </c>
      <c r="L347" s="6" t="s">
        <v>35</v>
      </c>
      <c r="M347">
        <v>54</v>
      </c>
      <c r="N347" s="6" t="str">
        <f t="shared" si="38"/>
        <v>Older Adults</v>
      </c>
      <c r="O347" s="6" t="s">
        <v>42</v>
      </c>
      <c r="P347" s="6" t="s">
        <v>36</v>
      </c>
      <c r="Q347" t="s">
        <v>399</v>
      </c>
      <c r="R347" s="6" t="s">
        <v>38</v>
      </c>
      <c r="S347" s="6" t="s">
        <v>29</v>
      </c>
      <c r="T347" s="14">
        <v>1.2500000000000001E-2</v>
      </c>
      <c r="U347">
        <v>1.25</v>
      </c>
      <c r="V347" t="str">
        <f>IF(fin_table[[#This Row],[Interest Rate(%)]]&gt;4,"high","low")</f>
        <v>low</v>
      </c>
      <c r="W347" s="5">
        <v>26681.654999999999</v>
      </c>
      <c r="X347" s="5">
        <f>fin_table[[#This Row],[Interest Rate]]*fin_table[[#This Row],[Loan Amount]]</f>
        <v>333.52068750000001</v>
      </c>
      <c r="Y347">
        <v>28</v>
      </c>
      <c r="Z347" s="3">
        <v>511</v>
      </c>
      <c r="AA347" s="3" t="str">
        <f t="shared" si="39"/>
        <v>Poor</v>
      </c>
      <c r="AB347" s="3" cm="1">
        <f t="array" ref="AB347">_xlfn.IFS(fin_table[[#This Row],[Transaction Status]]="Failed", 1, fin_table[[#This Row],[Transaction Status]]="Completed",0,fin_table[[#This Row],[Transaction Status]]="Pending",2)</f>
        <v>1</v>
      </c>
      <c r="AC347" s="3" t="str">
        <f>IF(fin_table[[#This Row],[Loan Defaulters]]=1,"Default", "Good")</f>
        <v>Default</v>
      </c>
      <c r="AD347" s="3">
        <f t="shared" si="40"/>
        <v>1</v>
      </c>
      <c r="AE347" s="4">
        <v>7038.56</v>
      </c>
      <c r="AF347" s="4" t="str">
        <f>IF(fin_table[[#This Row],[Monthly Income]]&lt;3000, "Low Income", IF(fin_table[[#This Row],[Monthly Income]]&lt;=5000, "Middle Income", "High Income"))</f>
        <v>High Income</v>
      </c>
      <c r="AG347" t="s">
        <v>63</v>
      </c>
      <c r="AH347" t="s">
        <v>3635</v>
      </c>
      <c r="AI347" t="str">
        <f t="shared" si="41"/>
        <v>Low-Risk</v>
      </c>
    </row>
    <row r="348" spans="1:35" x14ac:dyDescent="0.35">
      <c r="A348" t="s">
        <v>1355</v>
      </c>
      <c r="B348" t="s">
        <v>1356</v>
      </c>
      <c r="C348" t="s">
        <v>1357</v>
      </c>
      <c r="D348" s="1">
        <v>45097</v>
      </c>
      <c r="E348" s="1" t="str">
        <f t="shared" si="35"/>
        <v>20</v>
      </c>
      <c r="F348" s="1" t="str">
        <f t="shared" si="36"/>
        <v>Jun</v>
      </c>
      <c r="G348" s="6" t="s">
        <v>23</v>
      </c>
      <c r="H348" s="5">
        <v>9997.17</v>
      </c>
      <c r="I348" s="5" t="str">
        <f>IF(fin_table[[#This Row],[Account Balance]]&lt;20000,"Active", "Not Active")</f>
        <v>Not Active</v>
      </c>
      <c r="J348" s="5">
        <v>31950.53</v>
      </c>
      <c r="K348" s="5" t="str">
        <f t="shared" si="37"/>
        <v>Medium</v>
      </c>
      <c r="L348" s="6" t="s">
        <v>100</v>
      </c>
      <c r="M348">
        <v>24</v>
      </c>
      <c r="N348" s="6" t="str">
        <f t="shared" si="38"/>
        <v>Young Adults</v>
      </c>
      <c r="O348" s="6" t="s">
        <v>42</v>
      </c>
      <c r="P348" s="6" t="s">
        <v>50</v>
      </c>
      <c r="Q348" t="s">
        <v>1294</v>
      </c>
      <c r="R348" s="6" t="s">
        <v>52</v>
      </c>
      <c r="S348" s="6" t="s">
        <v>29</v>
      </c>
      <c r="T348" s="14">
        <v>3.7499999999999999E-2</v>
      </c>
      <c r="U348">
        <v>3.75</v>
      </c>
      <c r="V348" t="str">
        <f>IF(fin_table[[#This Row],[Interest Rate(%)]]&gt;4,"high","low")</f>
        <v>low</v>
      </c>
      <c r="W348" s="5">
        <v>24483.54</v>
      </c>
      <c r="X348" s="5">
        <f>fin_table[[#This Row],[Interest Rate]]*fin_table[[#This Row],[Loan Amount]]</f>
        <v>918.13274999999999</v>
      </c>
      <c r="Y348">
        <v>13</v>
      </c>
      <c r="Z348" s="3">
        <v>386</v>
      </c>
      <c r="AA348" s="3" t="str">
        <f t="shared" si="39"/>
        <v>Poor</v>
      </c>
      <c r="AB348" s="3" cm="1">
        <f t="array" ref="AB348">_xlfn.IFS(fin_table[[#This Row],[Transaction Status]]="Failed", 1, fin_table[[#This Row],[Transaction Status]]="Completed",0,fin_table[[#This Row],[Transaction Status]]="Pending",2)</f>
        <v>1</v>
      </c>
      <c r="AC348" s="3" t="str">
        <f>IF(fin_table[[#This Row],[Loan Defaulters]]=1,"Default", "Good")</f>
        <v>Default</v>
      </c>
      <c r="AD348" s="3">
        <f t="shared" si="40"/>
        <v>1</v>
      </c>
      <c r="AE348" s="4">
        <v>9490.98</v>
      </c>
      <c r="AF348" s="4" t="str">
        <f>IF(fin_table[[#This Row],[Monthly Income]]&lt;3000, "Low Income", IF(fin_table[[#This Row],[Monthly Income]]&lt;=5000, "Middle Income", "High Income"))</f>
        <v>High Income</v>
      </c>
      <c r="AG348" t="s">
        <v>63</v>
      </c>
      <c r="AH348" t="s">
        <v>3636</v>
      </c>
      <c r="AI348" t="str">
        <f t="shared" si="41"/>
        <v>Low-Risk</v>
      </c>
    </row>
    <row r="349" spans="1:35" x14ac:dyDescent="0.35">
      <c r="A349" t="s">
        <v>1358</v>
      </c>
      <c r="B349" t="s">
        <v>1359</v>
      </c>
      <c r="C349" t="s">
        <v>1360</v>
      </c>
      <c r="D349" s="1">
        <v>44960</v>
      </c>
      <c r="E349" s="1" t="str">
        <f t="shared" si="35"/>
        <v>03</v>
      </c>
      <c r="F349" s="1" t="str">
        <f t="shared" si="36"/>
        <v>Feb</v>
      </c>
      <c r="G349" s="6" t="s">
        <v>56</v>
      </c>
      <c r="H349" s="5">
        <v>1590.16</v>
      </c>
      <c r="I349" s="5" t="str">
        <f>IF(fin_table[[#This Row],[Account Balance]]&lt;20000,"Active", "Not Active")</f>
        <v>Active</v>
      </c>
      <c r="J349" s="5">
        <v>3665.15</v>
      </c>
      <c r="K349" s="5" t="str">
        <f t="shared" si="37"/>
        <v>Low</v>
      </c>
      <c r="L349" s="6" t="s">
        <v>49</v>
      </c>
      <c r="M349">
        <v>43</v>
      </c>
      <c r="N349" s="6" t="str">
        <f t="shared" si="38"/>
        <v>Middle-Aged</v>
      </c>
      <c r="O349" s="6" t="s">
        <v>42</v>
      </c>
      <c r="P349" s="6" t="s">
        <v>36</v>
      </c>
      <c r="Q349" t="s">
        <v>1361</v>
      </c>
      <c r="R349" s="6" t="s">
        <v>38</v>
      </c>
      <c r="S349" s="6" t="s">
        <v>29</v>
      </c>
      <c r="T349" s="14">
        <v>2.47E-2</v>
      </c>
      <c r="U349">
        <v>2.4700000000000002</v>
      </c>
      <c r="V349" t="str">
        <f>IF(fin_table[[#This Row],[Interest Rate(%)]]&gt;4,"high","low")</f>
        <v>low</v>
      </c>
      <c r="W349" s="5">
        <v>11486.1</v>
      </c>
      <c r="X349" s="5">
        <f>fin_table[[#This Row],[Interest Rate]]*fin_table[[#This Row],[Loan Amount]]</f>
        <v>283.70667000000003</v>
      </c>
      <c r="Y349">
        <v>25</v>
      </c>
      <c r="Z349" s="3">
        <v>360</v>
      </c>
      <c r="AA349" s="3" t="str">
        <f t="shared" si="39"/>
        <v>Poor</v>
      </c>
      <c r="AB349" s="3" cm="1">
        <f t="array" ref="AB349">_xlfn.IFS(fin_table[[#This Row],[Transaction Status]]="Failed", 1, fin_table[[#This Row],[Transaction Status]]="Completed",0,fin_table[[#This Row],[Transaction Status]]="Pending",2)</f>
        <v>1</v>
      </c>
      <c r="AC349" s="3" t="str">
        <f>IF(fin_table[[#This Row],[Loan Defaulters]]=1,"Default", "Good")</f>
        <v>Default</v>
      </c>
      <c r="AD349" s="3">
        <f t="shared" si="40"/>
        <v>1</v>
      </c>
      <c r="AE349" s="4">
        <v>12808.66</v>
      </c>
      <c r="AF349" s="4" t="str">
        <f>IF(fin_table[[#This Row],[Monthly Income]]&lt;3000, "Low Income", IF(fin_table[[#This Row],[Monthly Income]]&lt;=5000, "Middle Income", "High Income"))</f>
        <v>High Income</v>
      </c>
      <c r="AG349" t="s">
        <v>30</v>
      </c>
      <c r="AH349" t="s">
        <v>3636</v>
      </c>
      <c r="AI349" t="str">
        <f t="shared" si="41"/>
        <v>Low-Risk</v>
      </c>
    </row>
    <row r="350" spans="1:35" x14ac:dyDescent="0.35">
      <c r="A350" t="s">
        <v>1362</v>
      </c>
      <c r="B350" t="s">
        <v>1363</v>
      </c>
      <c r="C350" t="s">
        <v>1364</v>
      </c>
      <c r="D350" s="1">
        <v>44872</v>
      </c>
      <c r="E350" s="1" t="str">
        <f t="shared" si="35"/>
        <v>07</v>
      </c>
      <c r="F350" s="1" t="str">
        <f t="shared" si="36"/>
        <v>Nov</v>
      </c>
      <c r="G350" s="6" t="s">
        <v>56</v>
      </c>
      <c r="H350" s="5">
        <v>8185.89</v>
      </c>
      <c r="I350" s="5" t="str">
        <f>IF(fin_table[[#This Row],[Account Balance]]&lt;20000,"Active", "Not Active")</f>
        <v>Not Active</v>
      </c>
      <c r="J350" s="5">
        <v>32568.58</v>
      </c>
      <c r="K350" s="5" t="str">
        <f t="shared" si="37"/>
        <v>Medium</v>
      </c>
      <c r="L350" s="6" t="s">
        <v>100</v>
      </c>
      <c r="M350">
        <v>43</v>
      </c>
      <c r="N350" s="6" t="str">
        <f t="shared" si="38"/>
        <v>Middle-Aged</v>
      </c>
      <c r="O350" s="6" t="s">
        <v>25</v>
      </c>
      <c r="P350" s="6" t="s">
        <v>26</v>
      </c>
      <c r="Q350" t="s">
        <v>1365</v>
      </c>
      <c r="R350" s="6" t="s">
        <v>38</v>
      </c>
      <c r="S350" s="6" t="s">
        <v>29</v>
      </c>
      <c r="T350" s="14">
        <v>4.02E-2</v>
      </c>
      <c r="U350">
        <v>4.0199999999999996</v>
      </c>
      <c r="V350" t="str">
        <f>IF(fin_table[[#This Row],[Interest Rate(%)]]&gt;4,"high","low")</f>
        <v>high</v>
      </c>
      <c r="W350" s="5">
        <v>26681.654999999999</v>
      </c>
      <c r="X350" s="5">
        <f>fin_table[[#This Row],[Interest Rate]]*fin_table[[#This Row],[Loan Amount]]</f>
        <v>1072.602531</v>
      </c>
      <c r="Y350">
        <v>13</v>
      </c>
      <c r="Z350" s="3">
        <v>394</v>
      </c>
      <c r="AA350" s="3" t="str">
        <f t="shared" si="39"/>
        <v>Poor</v>
      </c>
      <c r="AB350" s="3" cm="1">
        <f t="array" ref="AB350">_xlfn.IFS(fin_table[[#This Row],[Transaction Status]]="Failed", 1, fin_table[[#This Row],[Transaction Status]]="Completed",0,fin_table[[#This Row],[Transaction Status]]="Pending",2)</f>
        <v>1</v>
      </c>
      <c r="AC350" s="3" t="str">
        <f>IF(fin_table[[#This Row],[Loan Defaulters]]=1,"Default", "Good")</f>
        <v>Default</v>
      </c>
      <c r="AD350" s="3">
        <f t="shared" si="40"/>
        <v>1</v>
      </c>
      <c r="AE350" s="4">
        <v>4449.13</v>
      </c>
      <c r="AF350" s="4" t="str">
        <f>IF(fin_table[[#This Row],[Monthly Income]]&lt;3000, "Low Income", IF(fin_table[[#This Row],[Monthly Income]]&lt;=5000, "Middle Income", "High Income"))</f>
        <v>Middle Income</v>
      </c>
      <c r="AG350" t="s">
        <v>45</v>
      </c>
      <c r="AH350" t="s">
        <v>3635</v>
      </c>
      <c r="AI350" t="str">
        <f t="shared" si="41"/>
        <v>Low-Risk</v>
      </c>
    </row>
    <row r="351" spans="1:35" x14ac:dyDescent="0.35">
      <c r="A351" t="s">
        <v>1366</v>
      </c>
      <c r="B351" t="s">
        <v>1367</v>
      </c>
      <c r="C351" t="s">
        <v>1368</v>
      </c>
      <c r="D351" s="1">
        <v>44677</v>
      </c>
      <c r="E351" s="1" t="str">
        <f t="shared" si="35"/>
        <v>26</v>
      </c>
      <c r="F351" s="1" t="str">
        <f t="shared" si="36"/>
        <v>Apr</v>
      </c>
      <c r="G351" s="6" t="s">
        <v>34</v>
      </c>
      <c r="H351" s="5">
        <v>2152.36</v>
      </c>
      <c r="I351" s="5" t="str">
        <f>IF(fin_table[[#This Row],[Account Balance]]&lt;20000,"Active", "Not Active")</f>
        <v>Not Active</v>
      </c>
      <c r="J351" s="5">
        <v>48738.14</v>
      </c>
      <c r="K351" s="5" t="str">
        <f t="shared" si="37"/>
        <v>Medium</v>
      </c>
      <c r="L351" s="6" t="s">
        <v>100</v>
      </c>
      <c r="M351">
        <v>41</v>
      </c>
      <c r="N351" s="6" t="str">
        <f t="shared" si="38"/>
        <v>Middle-Aged</v>
      </c>
      <c r="O351" s="6" t="s">
        <v>42</v>
      </c>
      <c r="P351" s="6" t="s">
        <v>26</v>
      </c>
      <c r="Q351" t="s">
        <v>1369</v>
      </c>
      <c r="R351" s="6" t="s">
        <v>28</v>
      </c>
      <c r="S351" s="6" t="s">
        <v>29</v>
      </c>
      <c r="T351" s="14">
        <v>4.8599999999999997E-2</v>
      </c>
      <c r="U351">
        <v>4.8600000000000003</v>
      </c>
      <c r="V351" t="str">
        <f>IF(fin_table[[#This Row],[Interest Rate(%)]]&gt;4,"high","low")</f>
        <v>high</v>
      </c>
      <c r="W351" s="5">
        <v>46897.66</v>
      </c>
      <c r="X351" s="5">
        <f>fin_table[[#This Row],[Interest Rate]]*fin_table[[#This Row],[Loan Amount]]</f>
        <v>2279.2262759999999</v>
      </c>
      <c r="Y351">
        <v>24</v>
      </c>
      <c r="Z351" s="3">
        <v>446</v>
      </c>
      <c r="AA351" s="3" t="str">
        <f t="shared" si="39"/>
        <v>Poor</v>
      </c>
      <c r="AB351" s="3" cm="1">
        <f t="array" ref="AB351">_xlfn.IFS(fin_table[[#This Row],[Transaction Status]]="Failed", 1, fin_table[[#This Row],[Transaction Status]]="Completed",0,fin_table[[#This Row],[Transaction Status]]="Pending",2)</f>
        <v>1</v>
      </c>
      <c r="AC351" s="3" t="str">
        <f>IF(fin_table[[#This Row],[Loan Defaulters]]=1,"Default", "Good")</f>
        <v>Default</v>
      </c>
      <c r="AD351" s="3">
        <f t="shared" si="40"/>
        <v>1</v>
      </c>
      <c r="AE351" s="4">
        <v>12198.63</v>
      </c>
      <c r="AF351" s="4" t="str">
        <f>IF(fin_table[[#This Row],[Monthly Income]]&lt;3000, "Low Income", IF(fin_table[[#This Row],[Monthly Income]]&lt;=5000, "Middle Income", "High Income"))</f>
        <v>High Income</v>
      </c>
      <c r="AG351" t="s">
        <v>45</v>
      </c>
      <c r="AH351" t="s">
        <v>3636</v>
      </c>
      <c r="AI351" t="str">
        <f t="shared" si="41"/>
        <v>High-Risk</v>
      </c>
    </row>
    <row r="352" spans="1:35" x14ac:dyDescent="0.35">
      <c r="A352" t="s">
        <v>1370</v>
      </c>
      <c r="B352" t="s">
        <v>1371</v>
      </c>
      <c r="C352" t="s">
        <v>1372</v>
      </c>
      <c r="D352" s="1">
        <v>44941</v>
      </c>
      <c r="E352" s="1" t="str">
        <f t="shared" si="35"/>
        <v>15</v>
      </c>
      <c r="F352" s="1" t="str">
        <f t="shared" si="36"/>
        <v>Jan</v>
      </c>
      <c r="G352" s="6" t="s">
        <v>23</v>
      </c>
      <c r="H352" s="5">
        <v>7845.64</v>
      </c>
      <c r="I352" s="5" t="str">
        <f>IF(fin_table[[#This Row],[Account Balance]]&lt;20000,"Active", "Not Active")</f>
        <v>Active</v>
      </c>
      <c r="J352" s="5">
        <v>4420.2299999999996</v>
      </c>
      <c r="K352" s="5" t="str">
        <f t="shared" si="37"/>
        <v>Low</v>
      </c>
      <c r="L352" s="6" t="s">
        <v>35</v>
      </c>
      <c r="M352">
        <v>29</v>
      </c>
      <c r="N352" s="6" t="str">
        <f t="shared" si="38"/>
        <v>Adults</v>
      </c>
      <c r="O352" s="6" t="s">
        <v>42</v>
      </c>
      <c r="P352" s="6" t="s">
        <v>50</v>
      </c>
      <c r="Q352" t="s">
        <v>1373</v>
      </c>
      <c r="R352" s="6" t="s">
        <v>52</v>
      </c>
      <c r="S352" s="6" t="s">
        <v>44</v>
      </c>
      <c r="T352" s="14">
        <v>1.46E-2</v>
      </c>
      <c r="U352">
        <v>1.46</v>
      </c>
      <c r="V352" t="str">
        <f>IF(fin_table[[#This Row],[Interest Rate(%)]]&gt;4,"high","low")</f>
        <v>low</v>
      </c>
      <c r="W352" s="5">
        <v>26681.654999999999</v>
      </c>
      <c r="X352" s="5">
        <f>fin_table[[#This Row],[Interest Rate]]*fin_table[[#This Row],[Loan Amount]]</f>
        <v>389.55216300000001</v>
      </c>
      <c r="Y352">
        <v>12</v>
      </c>
      <c r="Z352" s="3">
        <v>545</v>
      </c>
      <c r="AA352" s="3" t="str">
        <f t="shared" si="39"/>
        <v>Poor</v>
      </c>
      <c r="AB352" s="3" cm="1">
        <f t="array" ref="AB352">_xlfn.IFS(fin_table[[#This Row],[Transaction Status]]="Failed", 1, fin_table[[#This Row],[Transaction Status]]="Completed",0,fin_table[[#This Row],[Transaction Status]]="Pending",2)</f>
        <v>0</v>
      </c>
      <c r="AC352" s="3" t="str">
        <f>IF(fin_table[[#This Row],[Loan Defaulters]]=1,"Default", "Good")</f>
        <v>Good</v>
      </c>
      <c r="AD352" s="3">
        <f t="shared" si="40"/>
        <v>1</v>
      </c>
      <c r="AE352" s="4">
        <v>9750.1200000000008</v>
      </c>
      <c r="AF352" s="4" t="str">
        <f>IF(fin_table[[#This Row],[Monthly Income]]&lt;3000, "Low Income", IF(fin_table[[#This Row],[Monthly Income]]&lt;=5000, "Middle Income", "High Income"))</f>
        <v>High Income</v>
      </c>
      <c r="AG352" t="s">
        <v>30</v>
      </c>
      <c r="AH352" t="s">
        <v>3635</v>
      </c>
      <c r="AI352" t="str">
        <f t="shared" si="41"/>
        <v>Low-Risk</v>
      </c>
    </row>
    <row r="353" spans="1:35" x14ac:dyDescent="0.35">
      <c r="A353" t="s">
        <v>1374</v>
      </c>
      <c r="B353" t="s">
        <v>1375</v>
      </c>
      <c r="C353" t="s">
        <v>1376</v>
      </c>
      <c r="D353" s="1">
        <v>44653</v>
      </c>
      <c r="E353" s="1" t="str">
        <f t="shared" si="35"/>
        <v>02</v>
      </c>
      <c r="F353" s="1" t="str">
        <f t="shared" si="36"/>
        <v>Apr</v>
      </c>
      <c r="G353" s="6" t="s">
        <v>56</v>
      </c>
      <c r="H353" s="5">
        <v>7372.32</v>
      </c>
      <c r="I353" s="5" t="str">
        <f>IF(fin_table[[#This Row],[Account Balance]]&lt;20000,"Active", "Not Active")</f>
        <v>Not Active</v>
      </c>
      <c r="J353" s="5">
        <v>28179.7</v>
      </c>
      <c r="K353" s="5" t="str">
        <f t="shared" si="37"/>
        <v>Medium</v>
      </c>
      <c r="L353" s="6" t="s">
        <v>24</v>
      </c>
      <c r="M353">
        <v>33</v>
      </c>
      <c r="N353" s="6" t="str">
        <f t="shared" si="38"/>
        <v>Adults</v>
      </c>
      <c r="O353" s="6" t="s">
        <v>42</v>
      </c>
      <c r="P353" s="6" t="s">
        <v>36</v>
      </c>
      <c r="Q353" t="s">
        <v>1377</v>
      </c>
      <c r="R353" s="6" t="s">
        <v>52</v>
      </c>
      <c r="S353" s="6" t="s">
        <v>29</v>
      </c>
      <c r="T353" s="14">
        <v>2.2599999999999999E-2</v>
      </c>
      <c r="U353">
        <v>2.2599999999999998</v>
      </c>
      <c r="V353" t="str">
        <f>IF(fin_table[[#This Row],[Interest Rate(%)]]&gt;4,"high","low")</f>
        <v>low</v>
      </c>
      <c r="W353" s="5">
        <v>26681.654999999999</v>
      </c>
      <c r="X353" s="5">
        <f>fin_table[[#This Row],[Interest Rate]]*fin_table[[#This Row],[Loan Amount]]</f>
        <v>603.00540299999989</v>
      </c>
      <c r="Y353">
        <v>13</v>
      </c>
      <c r="Z353" s="3">
        <v>596</v>
      </c>
      <c r="AA353" s="3" t="str">
        <f t="shared" si="39"/>
        <v>Fair</v>
      </c>
      <c r="AB353" s="3" cm="1">
        <f t="array" ref="AB353">_xlfn.IFS(fin_table[[#This Row],[Transaction Status]]="Failed", 1, fin_table[[#This Row],[Transaction Status]]="Completed",0,fin_table[[#This Row],[Transaction Status]]="Pending",2)</f>
        <v>1</v>
      </c>
      <c r="AC353" s="3" t="str">
        <f>IF(fin_table[[#This Row],[Loan Defaulters]]=1,"Default", "Good")</f>
        <v>Default</v>
      </c>
      <c r="AD353" s="3">
        <f t="shared" si="40"/>
        <v>2</v>
      </c>
      <c r="AE353" s="4">
        <v>13613.44</v>
      </c>
      <c r="AF353" s="4" t="str">
        <f>IF(fin_table[[#This Row],[Monthly Income]]&lt;3000, "Low Income", IF(fin_table[[#This Row],[Monthly Income]]&lt;=5000, "Middle Income", "High Income"))</f>
        <v>High Income</v>
      </c>
      <c r="AG353" t="s">
        <v>45</v>
      </c>
      <c r="AH353" t="s">
        <v>3635</v>
      </c>
      <c r="AI353" t="str">
        <f t="shared" si="41"/>
        <v>Low-Risk</v>
      </c>
    </row>
    <row r="354" spans="1:35" x14ac:dyDescent="0.35">
      <c r="A354" t="s">
        <v>1378</v>
      </c>
      <c r="B354" t="s">
        <v>1379</v>
      </c>
      <c r="C354" t="s">
        <v>1380</v>
      </c>
      <c r="D354" s="1">
        <v>44783</v>
      </c>
      <c r="E354" s="1" t="str">
        <f t="shared" si="35"/>
        <v>10</v>
      </c>
      <c r="F354" s="1" t="str">
        <f t="shared" si="36"/>
        <v>Aug</v>
      </c>
      <c r="G354" s="6" t="s">
        <v>34</v>
      </c>
      <c r="H354" s="5">
        <v>3074.84</v>
      </c>
      <c r="I354" s="5" t="str">
        <f>IF(fin_table[[#This Row],[Account Balance]]&lt;20000,"Active", "Not Active")</f>
        <v>Not Active</v>
      </c>
      <c r="J354" s="5">
        <v>37641.919999999998</v>
      </c>
      <c r="K354" s="5" t="str">
        <f t="shared" si="37"/>
        <v>Medium</v>
      </c>
      <c r="L354" s="6" t="s">
        <v>100</v>
      </c>
      <c r="M354">
        <v>40</v>
      </c>
      <c r="N354" s="6" t="str">
        <f t="shared" si="38"/>
        <v>Middle-Aged</v>
      </c>
      <c r="O354" s="6" t="s">
        <v>25</v>
      </c>
      <c r="P354" s="6" t="s">
        <v>26</v>
      </c>
      <c r="Q354" t="s">
        <v>1381</v>
      </c>
      <c r="R354" s="6" t="s">
        <v>38</v>
      </c>
      <c r="S354" s="6" t="s">
        <v>29</v>
      </c>
      <c r="T354" s="14">
        <v>4.24E-2</v>
      </c>
      <c r="U354">
        <v>4.24</v>
      </c>
      <c r="V354" t="str">
        <f>IF(fin_table[[#This Row],[Interest Rate(%)]]&gt;4,"high","low")</f>
        <v>high</v>
      </c>
      <c r="W354" s="5">
        <v>11930.73</v>
      </c>
      <c r="X354" s="5">
        <f>fin_table[[#This Row],[Interest Rate]]*fin_table[[#This Row],[Loan Amount]]</f>
        <v>505.86295200000001</v>
      </c>
      <c r="Y354">
        <v>20</v>
      </c>
      <c r="Z354" s="3">
        <v>422</v>
      </c>
      <c r="AA354" s="3" t="str">
        <f t="shared" si="39"/>
        <v>Poor</v>
      </c>
      <c r="AB354" s="3" cm="1">
        <f t="array" ref="AB354">_xlfn.IFS(fin_table[[#This Row],[Transaction Status]]="Failed", 1, fin_table[[#This Row],[Transaction Status]]="Completed",0,fin_table[[#This Row],[Transaction Status]]="Pending",2)</f>
        <v>1</v>
      </c>
      <c r="AC354" s="3" t="str">
        <f>IF(fin_table[[#This Row],[Loan Defaulters]]=1,"Default", "Good")</f>
        <v>Default</v>
      </c>
      <c r="AD354" s="3">
        <f t="shared" si="40"/>
        <v>1</v>
      </c>
      <c r="AE354" s="4">
        <v>4235.62</v>
      </c>
      <c r="AF354" s="4" t="str">
        <f>IF(fin_table[[#This Row],[Monthly Income]]&lt;3000, "Low Income", IF(fin_table[[#This Row],[Monthly Income]]&lt;=5000, "Middle Income", "High Income"))</f>
        <v>Middle Income</v>
      </c>
      <c r="AG354" t="s">
        <v>30</v>
      </c>
      <c r="AH354" t="s">
        <v>3636</v>
      </c>
      <c r="AI354" t="str">
        <f t="shared" si="41"/>
        <v>Low-Risk</v>
      </c>
    </row>
    <row r="355" spans="1:35" x14ac:dyDescent="0.35">
      <c r="A355" t="s">
        <v>1382</v>
      </c>
      <c r="B355" t="s">
        <v>1383</v>
      </c>
      <c r="C355" t="s">
        <v>1384</v>
      </c>
      <c r="D355" s="1">
        <v>44934</v>
      </c>
      <c r="E355" s="1" t="str">
        <f t="shared" si="35"/>
        <v>08</v>
      </c>
      <c r="F355" s="1" t="str">
        <f t="shared" si="36"/>
        <v>Jan</v>
      </c>
      <c r="G355" s="6" t="s">
        <v>23</v>
      </c>
      <c r="H355" s="5">
        <v>3325.65</v>
      </c>
      <c r="I355" s="5" t="str">
        <f>IF(fin_table[[#This Row],[Account Balance]]&lt;20000,"Active", "Not Active")</f>
        <v>Not Active</v>
      </c>
      <c r="J355" s="5">
        <v>40702.67</v>
      </c>
      <c r="K355" s="5" t="str">
        <f t="shared" si="37"/>
        <v>Medium</v>
      </c>
      <c r="L355" s="6" t="s">
        <v>49</v>
      </c>
      <c r="M355">
        <v>57</v>
      </c>
      <c r="N355" s="6" t="str">
        <f t="shared" si="38"/>
        <v>Older Adults</v>
      </c>
      <c r="O355" s="6" t="s">
        <v>25</v>
      </c>
      <c r="P355" s="6" t="s">
        <v>50</v>
      </c>
      <c r="Q355" t="s">
        <v>395</v>
      </c>
      <c r="R355" s="6" t="s">
        <v>28</v>
      </c>
      <c r="S355" s="6" t="s">
        <v>62</v>
      </c>
      <c r="T355" s="14">
        <v>2.06E-2</v>
      </c>
      <c r="U355">
        <v>2.06</v>
      </c>
      <c r="V355" t="str">
        <f>IF(fin_table[[#This Row],[Interest Rate(%)]]&gt;4,"high","low")</f>
        <v>low</v>
      </c>
      <c r="W355" s="5">
        <v>26681.654999999999</v>
      </c>
      <c r="X355" s="5">
        <f>fin_table[[#This Row],[Interest Rate]]*fin_table[[#This Row],[Loan Amount]]</f>
        <v>549.64209299999993</v>
      </c>
      <c r="Y355">
        <v>13</v>
      </c>
      <c r="Z355" s="3">
        <v>755</v>
      </c>
      <c r="AA355" s="3" t="str">
        <f t="shared" si="39"/>
        <v>Very Good</v>
      </c>
      <c r="AB355" s="3" cm="1">
        <f t="array" ref="AB355">_xlfn.IFS(fin_table[[#This Row],[Transaction Status]]="Failed", 1, fin_table[[#This Row],[Transaction Status]]="Completed",0,fin_table[[#This Row],[Transaction Status]]="Pending",2)</f>
        <v>2</v>
      </c>
      <c r="AC355" s="3" t="str">
        <f>IF(fin_table[[#This Row],[Loan Defaulters]]=1,"Default", "Good")</f>
        <v>Good</v>
      </c>
      <c r="AD355" s="3">
        <f t="shared" si="40"/>
        <v>4</v>
      </c>
      <c r="AE355" s="4">
        <v>7468.87</v>
      </c>
      <c r="AF355" s="4" t="str">
        <f>IF(fin_table[[#This Row],[Monthly Income]]&lt;3000, "Low Income", IF(fin_table[[#This Row],[Monthly Income]]&lt;=5000, "Middle Income", "High Income"))</f>
        <v>High Income</v>
      </c>
      <c r="AG355" t="s">
        <v>63</v>
      </c>
      <c r="AH355" t="s">
        <v>3635</v>
      </c>
      <c r="AI355" t="str">
        <f t="shared" si="41"/>
        <v>Low-Risk</v>
      </c>
    </row>
    <row r="356" spans="1:35" x14ac:dyDescent="0.35">
      <c r="A356" t="s">
        <v>1385</v>
      </c>
      <c r="B356" t="s">
        <v>1386</v>
      </c>
      <c r="C356" t="s">
        <v>1387</v>
      </c>
      <c r="D356" s="1">
        <v>44762</v>
      </c>
      <c r="E356" s="1" t="str">
        <f t="shared" si="35"/>
        <v>20</v>
      </c>
      <c r="F356" s="1" t="str">
        <f t="shared" si="36"/>
        <v>Jul</v>
      </c>
      <c r="G356" s="6" t="s">
        <v>71</v>
      </c>
      <c r="H356" s="5">
        <v>7945.96</v>
      </c>
      <c r="I356" s="5" t="str">
        <f>IF(fin_table[[#This Row],[Account Balance]]&lt;20000,"Active", "Not Active")</f>
        <v>Not Active</v>
      </c>
      <c r="J356" s="5">
        <v>21277.55</v>
      </c>
      <c r="K356" s="5" t="str">
        <f t="shared" si="37"/>
        <v>Medium</v>
      </c>
      <c r="L356" s="6" t="s">
        <v>125</v>
      </c>
      <c r="M356">
        <v>26</v>
      </c>
      <c r="N356" s="6" t="str">
        <f t="shared" si="38"/>
        <v>Adults</v>
      </c>
      <c r="O356" s="6" t="s">
        <v>42</v>
      </c>
      <c r="P356" s="6" t="s">
        <v>50</v>
      </c>
      <c r="Q356" t="s">
        <v>1388</v>
      </c>
      <c r="R356" s="6" t="s">
        <v>28</v>
      </c>
      <c r="S356" s="6" t="s">
        <v>44</v>
      </c>
      <c r="T356" s="14">
        <v>1.8599999999999998E-2</v>
      </c>
      <c r="U356">
        <v>1.86</v>
      </c>
      <c r="V356" t="str">
        <f>IF(fin_table[[#This Row],[Interest Rate(%)]]&gt;4,"high","low")</f>
        <v>low</v>
      </c>
      <c r="W356" s="5">
        <v>16493.47</v>
      </c>
      <c r="X356" s="5">
        <f>fin_table[[#This Row],[Interest Rate]]*fin_table[[#This Row],[Loan Amount]]</f>
        <v>306.77854200000002</v>
      </c>
      <c r="Y356">
        <v>13</v>
      </c>
      <c r="Z356" s="3">
        <v>698</v>
      </c>
      <c r="AA356" s="3" t="str">
        <f t="shared" si="39"/>
        <v>Good</v>
      </c>
      <c r="AB356" s="3" cm="1">
        <f t="array" ref="AB356">_xlfn.IFS(fin_table[[#This Row],[Transaction Status]]="Failed", 1, fin_table[[#This Row],[Transaction Status]]="Completed",0,fin_table[[#This Row],[Transaction Status]]="Pending",2)</f>
        <v>0</v>
      </c>
      <c r="AC356" s="3" t="str">
        <f>IF(fin_table[[#This Row],[Loan Defaulters]]=1,"Default", "Good")</f>
        <v>Good</v>
      </c>
      <c r="AD356" s="3">
        <f t="shared" si="40"/>
        <v>3</v>
      </c>
      <c r="AE356" s="4">
        <v>12826.96</v>
      </c>
      <c r="AF356" s="4" t="str">
        <f>IF(fin_table[[#This Row],[Monthly Income]]&lt;3000, "Low Income", IF(fin_table[[#This Row],[Monthly Income]]&lt;=5000, "Middle Income", "High Income"))</f>
        <v>High Income</v>
      </c>
      <c r="AG356" t="s">
        <v>45</v>
      </c>
      <c r="AH356" t="s">
        <v>3636</v>
      </c>
      <c r="AI356" t="str">
        <f t="shared" si="41"/>
        <v>Low-Risk</v>
      </c>
    </row>
    <row r="357" spans="1:35" x14ac:dyDescent="0.35">
      <c r="A357" t="s">
        <v>1389</v>
      </c>
      <c r="B357" t="s">
        <v>1390</v>
      </c>
      <c r="C357" t="s">
        <v>1391</v>
      </c>
      <c r="D357" s="1">
        <v>45123</v>
      </c>
      <c r="E357" s="1" t="str">
        <f t="shared" si="35"/>
        <v>16</v>
      </c>
      <c r="F357" s="1" t="str">
        <f t="shared" si="36"/>
        <v>Jul</v>
      </c>
      <c r="G357" s="6" t="s">
        <v>56</v>
      </c>
      <c r="H357" s="5">
        <v>4668.3100000000004</v>
      </c>
      <c r="I357" s="5" t="str">
        <f>IF(fin_table[[#This Row],[Account Balance]]&lt;20000,"Active", "Not Active")</f>
        <v>Active</v>
      </c>
      <c r="J357" s="5">
        <v>11004.16</v>
      </c>
      <c r="K357" s="5" t="str">
        <f t="shared" si="37"/>
        <v>Medium</v>
      </c>
      <c r="L357" s="6" t="s">
        <v>100</v>
      </c>
      <c r="M357">
        <v>49</v>
      </c>
      <c r="N357" s="6" t="str">
        <f t="shared" si="38"/>
        <v>Older Adults</v>
      </c>
      <c r="O357" s="6" t="s">
        <v>42</v>
      </c>
      <c r="P357" s="6" t="s">
        <v>26</v>
      </c>
      <c r="Q357" t="s">
        <v>1392</v>
      </c>
      <c r="R357" s="6" t="s">
        <v>52</v>
      </c>
      <c r="S357" s="6" t="s">
        <v>29</v>
      </c>
      <c r="T357" s="14">
        <v>4.2999999999999997E-2</v>
      </c>
      <c r="U357">
        <v>4.2999999999999997E-2</v>
      </c>
      <c r="V357" t="str">
        <f>IF(fin_table[[#This Row],[Interest Rate(%)]]&gt;4,"high","low")</f>
        <v>low</v>
      </c>
      <c r="W357" s="5">
        <v>32608.75</v>
      </c>
      <c r="X357" s="5">
        <f>fin_table[[#This Row],[Interest Rate]]*fin_table[[#This Row],[Loan Amount]]</f>
        <v>1402.17625</v>
      </c>
      <c r="Y357">
        <v>13</v>
      </c>
      <c r="Z357" s="3">
        <v>530</v>
      </c>
      <c r="AA357" s="3" t="str">
        <f t="shared" si="39"/>
        <v>Poor</v>
      </c>
      <c r="AB357" s="3" cm="1">
        <f t="array" ref="AB357">_xlfn.IFS(fin_table[[#This Row],[Transaction Status]]="Failed", 1, fin_table[[#This Row],[Transaction Status]]="Completed",0,fin_table[[#This Row],[Transaction Status]]="Pending",2)</f>
        <v>1</v>
      </c>
      <c r="AC357" s="3" t="str">
        <f>IF(fin_table[[#This Row],[Loan Defaulters]]=1,"Default", "Good")</f>
        <v>Default</v>
      </c>
      <c r="AD357" s="3">
        <f t="shared" si="40"/>
        <v>1</v>
      </c>
      <c r="AE357" s="4">
        <v>2250.0100000000002</v>
      </c>
      <c r="AF357" s="4" t="str">
        <f>IF(fin_table[[#This Row],[Monthly Income]]&lt;3000, "Low Income", IF(fin_table[[#This Row],[Monthly Income]]&lt;=5000, "Middle Income", "High Income"))</f>
        <v>Low Income</v>
      </c>
      <c r="AG357" t="s">
        <v>45</v>
      </c>
      <c r="AH357" t="s">
        <v>3636</v>
      </c>
      <c r="AI357" t="str">
        <f t="shared" si="41"/>
        <v>Low-Risk</v>
      </c>
    </row>
    <row r="358" spans="1:35" x14ac:dyDescent="0.35">
      <c r="A358" t="s">
        <v>1393</v>
      </c>
      <c r="B358" t="s">
        <v>1394</v>
      </c>
      <c r="C358" t="s">
        <v>1395</v>
      </c>
      <c r="D358" s="1">
        <v>44619</v>
      </c>
      <c r="E358" s="1" t="str">
        <f t="shared" si="35"/>
        <v>27</v>
      </c>
      <c r="F358" s="1" t="str">
        <f t="shared" si="36"/>
        <v>Feb</v>
      </c>
      <c r="G358" s="6" t="s">
        <v>71</v>
      </c>
      <c r="H358" s="5">
        <v>7335.1</v>
      </c>
      <c r="I358" s="5" t="str">
        <f>IF(fin_table[[#This Row],[Account Balance]]&lt;20000,"Active", "Not Active")</f>
        <v>Active</v>
      </c>
      <c r="J358" s="5">
        <v>3074.77</v>
      </c>
      <c r="K358" s="5" t="str">
        <f t="shared" si="37"/>
        <v>Low</v>
      </c>
      <c r="L358" s="6" t="s">
        <v>100</v>
      </c>
      <c r="M358">
        <v>32</v>
      </c>
      <c r="N358" s="6" t="str">
        <f t="shared" si="38"/>
        <v>Adults</v>
      </c>
      <c r="O358" s="6" t="s">
        <v>25</v>
      </c>
      <c r="P358" s="6" t="s">
        <v>26</v>
      </c>
      <c r="Q358" t="s">
        <v>1396</v>
      </c>
      <c r="R358" s="6" t="s">
        <v>38</v>
      </c>
      <c r="S358" s="6" t="s">
        <v>29</v>
      </c>
      <c r="T358" s="14">
        <v>4.9500000000000002E-2</v>
      </c>
      <c r="U358">
        <v>4.95</v>
      </c>
      <c r="V358" t="str">
        <f>IF(fin_table[[#This Row],[Interest Rate(%)]]&gt;4,"high","low")</f>
        <v>high</v>
      </c>
      <c r="W358" s="5">
        <v>26681.654999999999</v>
      </c>
      <c r="X358" s="5">
        <f>fin_table[[#This Row],[Interest Rate]]*fin_table[[#This Row],[Loan Amount]]</f>
        <v>1320.7419225000001</v>
      </c>
      <c r="Y358">
        <v>9</v>
      </c>
      <c r="Z358" s="3">
        <v>833</v>
      </c>
      <c r="AA358" s="3" t="str">
        <f t="shared" si="39"/>
        <v>Excellent</v>
      </c>
      <c r="AB358" s="3" cm="1">
        <f t="array" ref="AB358">_xlfn.IFS(fin_table[[#This Row],[Transaction Status]]="Failed", 1, fin_table[[#This Row],[Transaction Status]]="Completed",0,fin_table[[#This Row],[Transaction Status]]="Pending",2)</f>
        <v>1</v>
      </c>
      <c r="AC358" s="3" t="str">
        <f>IF(fin_table[[#This Row],[Loan Defaulters]]=1,"Default", "Good")</f>
        <v>Default</v>
      </c>
      <c r="AD358" s="3">
        <f t="shared" si="40"/>
        <v>5</v>
      </c>
      <c r="AE358" s="4">
        <v>3458.62</v>
      </c>
      <c r="AF358" s="4" t="str">
        <f>IF(fin_table[[#This Row],[Monthly Income]]&lt;3000, "Low Income", IF(fin_table[[#This Row],[Monthly Income]]&lt;=5000, "Middle Income", "High Income"))</f>
        <v>Middle Income</v>
      </c>
      <c r="AG358" t="s">
        <v>63</v>
      </c>
      <c r="AH358" t="s">
        <v>3635</v>
      </c>
      <c r="AI358" t="str">
        <f t="shared" si="41"/>
        <v>Low-Risk</v>
      </c>
    </row>
    <row r="359" spans="1:35" x14ac:dyDescent="0.35">
      <c r="A359" t="s">
        <v>1397</v>
      </c>
      <c r="B359" t="s">
        <v>1031</v>
      </c>
      <c r="C359" t="s">
        <v>1398</v>
      </c>
      <c r="D359" s="1">
        <v>45076</v>
      </c>
      <c r="E359" s="1" t="str">
        <f t="shared" si="35"/>
        <v>30</v>
      </c>
      <c r="F359" s="1" t="str">
        <f t="shared" si="36"/>
        <v>May</v>
      </c>
      <c r="G359" s="6" t="s">
        <v>23</v>
      </c>
      <c r="H359" s="5">
        <v>1565.04</v>
      </c>
      <c r="I359" s="5" t="str">
        <f>IF(fin_table[[#This Row],[Account Balance]]&lt;20000,"Active", "Not Active")</f>
        <v>Not Active</v>
      </c>
      <c r="J359" s="5">
        <v>29406.58</v>
      </c>
      <c r="K359" s="5" t="str">
        <f t="shared" si="37"/>
        <v>Medium</v>
      </c>
      <c r="L359" s="6" t="s">
        <v>49</v>
      </c>
      <c r="M359">
        <v>54</v>
      </c>
      <c r="N359" s="6" t="str">
        <f t="shared" si="38"/>
        <v>Older Adults</v>
      </c>
      <c r="O359" s="6" t="s">
        <v>42</v>
      </c>
      <c r="P359" s="6" t="s">
        <v>36</v>
      </c>
      <c r="Q359" t="s">
        <v>1399</v>
      </c>
      <c r="R359" s="6" t="s">
        <v>52</v>
      </c>
      <c r="S359" s="6" t="s">
        <v>29</v>
      </c>
      <c r="T359" s="14">
        <v>3.2300000000000002E-2</v>
      </c>
      <c r="U359">
        <v>3.23</v>
      </c>
      <c r="V359" t="str">
        <f>IF(fin_table[[#This Row],[Interest Rate(%)]]&gt;4,"high","low")</f>
        <v>low</v>
      </c>
      <c r="W359" s="5">
        <v>26681.654999999999</v>
      </c>
      <c r="X359" s="5">
        <f>fin_table[[#This Row],[Interest Rate]]*fin_table[[#This Row],[Loan Amount]]</f>
        <v>861.81745650000005</v>
      </c>
      <c r="Y359">
        <v>13</v>
      </c>
      <c r="Z359" s="3">
        <v>701</v>
      </c>
      <c r="AA359" s="3" t="str">
        <f t="shared" si="39"/>
        <v>Good</v>
      </c>
      <c r="AB359" s="3" cm="1">
        <f t="array" ref="AB359">_xlfn.IFS(fin_table[[#This Row],[Transaction Status]]="Failed", 1, fin_table[[#This Row],[Transaction Status]]="Completed",0,fin_table[[#This Row],[Transaction Status]]="Pending",2)</f>
        <v>1</v>
      </c>
      <c r="AC359" s="3" t="str">
        <f>IF(fin_table[[#This Row],[Loan Defaulters]]=1,"Default", "Good")</f>
        <v>Default</v>
      </c>
      <c r="AD359" s="3">
        <f t="shared" si="40"/>
        <v>3</v>
      </c>
      <c r="AE359" s="4">
        <v>14877.35</v>
      </c>
      <c r="AF359" s="4" t="str">
        <f>IF(fin_table[[#This Row],[Monthly Income]]&lt;3000, "Low Income", IF(fin_table[[#This Row],[Monthly Income]]&lt;=5000, "Middle Income", "High Income"))</f>
        <v>High Income</v>
      </c>
      <c r="AG359" t="s">
        <v>63</v>
      </c>
      <c r="AH359" t="s">
        <v>3635</v>
      </c>
      <c r="AI359" t="str">
        <f t="shared" si="41"/>
        <v>Low-Risk</v>
      </c>
    </row>
    <row r="360" spans="1:35" x14ac:dyDescent="0.35">
      <c r="A360" t="s">
        <v>1400</v>
      </c>
      <c r="B360" t="s">
        <v>1401</v>
      </c>
      <c r="C360" t="s">
        <v>1402</v>
      </c>
      <c r="D360" s="1">
        <v>44606</v>
      </c>
      <c r="E360" s="1" t="str">
        <f t="shared" si="35"/>
        <v>14</v>
      </c>
      <c r="F360" s="1" t="str">
        <f t="shared" si="36"/>
        <v>Feb</v>
      </c>
      <c r="G360" s="6" t="s">
        <v>56</v>
      </c>
      <c r="H360" s="5">
        <v>8540.32</v>
      </c>
      <c r="I360" s="5" t="str">
        <f>IF(fin_table[[#This Row],[Account Balance]]&lt;20000,"Active", "Not Active")</f>
        <v>Not Active</v>
      </c>
      <c r="J360" s="5">
        <v>23192.639999999999</v>
      </c>
      <c r="K360" s="5" t="str">
        <f t="shared" si="37"/>
        <v>Medium</v>
      </c>
      <c r="L360" s="6" t="s">
        <v>24</v>
      </c>
      <c r="M360">
        <v>30</v>
      </c>
      <c r="N360" s="6" t="str">
        <f t="shared" si="38"/>
        <v>Adults</v>
      </c>
      <c r="O360" s="6" t="s">
        <v>42</v>
      </c>
      <c r="P360" s="6" t="s">
        <v>50</v>
      </c>
      <c r="Q360" t="s">
        <v>1403</v>
      </c>
      <c r="R360" s="6" t="s">
        <v>52</v>
      </c>
      <c r="S360" s="6" t="s">
        <v>62</v>
      </c>
      <c r="T360" s="14">
        <v>2.1100000000000001E-2</v>
      </c>
      <c r="U360">
        <v>2.11</v>
      </c>
      <c r="V360" t="str">
        <f>IF(fin_table[[#This Row],[Interest Rate(%)]]&gt;4,"high","low")</f>
        <v>low</v>
      </c>
      <c r="W360" s="5">
        <v>5046</v>
      </c>
      <c r="X360" s="5">
        <f>fin_table[[#This Row],[Interest Rate]]*fin_table[[#This Row],[Loan Amount]]</f>
        <v>106.4706</v>
      </c>
      <c r="Y360">
        <v>17</v>
      </c>
      <c r="Z360" s="3">
        <v>429</v>
      </c>
      <c r="AA360" s="3" t="str">
        <f t="shared" si="39"/>
        <v>Poor</v>
      </c>
      <c r="AB360" s="3" cm="1">
        <f t="array" ref="AB360">_xlfn.IFS(fin_table[[#This Row],[Transaction Status]]="Failed", 1, fin_table[[#This Row],[Transaction Status]]="Completed",0,fin_table[[#This Row],[Transaction Status]]="Pending",2)</f>
        <v>2</v>
      </c>
      <c r="AC360" s="3" t="str">
        <f>IF(fin_table[[#This Row],[Loan Defaulters]]=1,"Default", "Good")</f>
        <v>Good</v>
      </c>
      <c r="AD360" s="3">
        <f t="shared" si="40"/>
        <v>1</v>
      </c>
      <c r="AE360" s="4">
        <v>5645.12</v>
      </c>
      <c r="AF360" s="4" t="str">
        <f>IF(fin_table[[#This Row],[Monthly Income]]&lt;3000, "Low Income", IF(fin_table[[#This Row],[Monthly Income]]&lt;=5000, "Middle Income", "High Income"))</f>
        <v>High Income</v>
      </c>
      <c r="AG360" t="s">
        <v>45</v>
      </c>
      <c r="AH360" t="s">
        <v>3636</v>
      </c>
      <c r="AI360" t="str">
        <f t="shared" si="41"/>
        <v>Low-Risk</v>
      </c>
    </row>
    <row r="361" spans="1:35" x14ac:dyDescent="0.35">
      <c r="A361" t="s">
        <v>1404</v>
      </c>
      <c r="B361" t="s">
        <v>1405</v>
      </c>
      <c r="C361" t="s">
        <v>1406</v>
      </c>
      <c r="D361" s="1">
        <v>45090</v>
      </c>
      <c r="E361" s="1" t="str">
        <f t="shared" si="35"/>
        <v>13</v>
      </c>
      <c r="F361" s="1" t="str">
        <f t="shared" si="36"/>
        <v>Jun</v>
      </c>
      <c r="G361" s="6" t="s">
        <v>23</v>
      </c>
      <c r="H361" s="5">
        <v>7137.76</v>
      </c>
      <c r="I361" s="5" t="str">
        <f>IF(fin_table[[#This Row],[Account Balance]]&lt;20000,"Active", "Not Active")</f>
        <v>Not Active</v>
      </c>
      <c r="J361" s="5">
        <v>47488.480000000003</v>
      </c>
      <c r="K361" s="5" t="str">
        <f t="shared" si="37"/>
        <v>Medium</v>
      </c>
      <c r="L361" s="6" t="s">
        <v>100</v>
      </c>
      <c r="M361">
        <v>22</v>
      </c>
      <c r="N361" s="6" t="str">
        <f t="shared" si="38"/>
        <v>Young Adults</v>
      </c>
      <c r="O361" s="6" t="s">
        <v>42</v>
      </c>
      <c r="P361" s="6" t="s">
        <v>26</v>
      </c>
      <c r="Q361" t="s">
        <v>1407</v>
      </c>
      <c r="R361" s="6" t="s">
        <v>52</v>
      </c>
      <c r="S361" s="6" t="s">
        <v>62</v>
      </c>
      <c r="T361" s="14">
        <v>2.5899999999999999E-2</v>
      </c>
      <c r="U361">
        <v>2.59</v>
      </c>
      <c r="V361" t="str">
        <f>IF(fin_table[[#This Row],[Interest Rate(%)]]&gt;4,"high","low")</f>
        <v>low</v>
      </c>
      <c r="W361" s="5">
        <v>32008.19</v>
      </c>
      <c r="X361" s="5">
        <f>fin_table[[#This Row],[Interest Rate]]*fin_table[[#This Row],[Loan Amount]]</f>
        <v>829.01212099999998</v>
      </c>
      <c r="Y361">
        <v>13</v>
      </c>
      <c r="Z361" s="3">
        <v>591</v>
      </c>
      <c r="AA361" s="3" t="str">
        <f t="shared" si="39"/>
        <v>Fair</v>
      </c>
      <c r="AB361" s="3" cm="1">
        <f t="array" ref="AB361">_xlfn.IFS(fin_table[[#This Row],[Transaction Status]]="Failed", 1, fin_table[[#This Row],[Transaction Status]]="Completed",0,fin_table[[#This Row],[Transaction Status]]="Pending",2)</f>
        <v>2</v>
      </c>
      <c r="AC361" s="3" t="str">
        <f>IF(fin_table[[#This Row],[Loan Defaulters]]=1,"Default", "Good")</f>
        <v>Good</v>
      </c>
      <c r="AD361" s="3">
        <f t="shared" si="40"/>
        <v>2</v>
      </c>
      <c r="AE361" s="4">
        <v>14682.06</v>
      </c>
      <c r="AF361" s="4" t="str">
        <f>IF(fin_table[[#This Row],[Monthly Income]]&lt;3000, "Low Income", IF(fin_table[[#This Row],[Monthly Income]]&lt;=5000, "Middle Income", "High Income"))</f>
        <v>High Income</v>
      </c>
      <c r="AG361" t="s">
        <v>45</v>
      </c>
      <c r="AH361" t="s">
        <v>3636</v>
      </c>
      <c r="AI361" t="str">
        <f t="shared" si="41"/>
        <v>Low-Risk</v>
      </c>
    </row>
    <row r="362" spans="1:35" x14ac:dyDescent="0.35">
      <c r="A362" t="s">
        <v>1408</v>
      </c>
      <c r="B362" t="s">
        <v>1409</v>
      </c>
      <c r="C362" t="s">
        <v>1410</v>
      </c>
      <c r="D362" s="1">
        <v>44584</v>
      </c>
      <c r="E362" s="1" t="str">
        <f t="shared" si="35"/>
        <v>23</v>
      </c>
      <c r="F362" s="1" t="str">
        <f t="shared" si="36"/>
        <v>Jan</v>
      </c>
      <c r="G362" s="6" t="s">
        <v>71</v>
      </c>
      <c r="H362" s="5">
        <v>9078.73</v>
      </c>
      <c r="I362" s="5" t="str">
        <f>IF(fin_table[[#This Row],[Account Balance]]&lt;20000,"Active", "Not Active")</f>
        <v>Active</v>
      </c>
      <c r="J362" s="5">
        <v>3969.64</v>
      </c>
      <c r="K362" s="5" t="str">
        <f t="shared" si="37"/>
        <v>Low</v>
      </c>
      <c r="L362" s="6" t="s">
        <v>100</v>
      </c>
      <c r="M362">
        <v>28</v>
      </c>
      <c r="N362" s="6" t="str">
        <f t="shared" si="38"/>
        <v>Adults</v>
      </c>
      <c r="O362" s="6" t="s">
        <v>42</v>
      </c>
      <c r="P362" s="6" t="s">
        <v>50</v>
      </c>
      <c r="Q362" t="s">
        <v>1411</v>
      </c>
      <c r="R362" s="6" t="s">
        <v>52</v>
      </c>
      <c r="S362" s="6" t="s">
        <v>62</v>
      </c>
      <c r="T362" s="14">
        <v>1.6799999999999999E-2</v>
      </c>
      <c r="U362">
        <v>1.68</v>
      </c>
      <c r="V362" t="str">
        <f>IF(fin_table[[#This Row],[Interest Rate(%)]]&gt;4,"high","low")</f>
        <v>low</v>
      </c>
      <c r="W362" s="5">
        <v>26681.654999999999</v>
      </c>
      <c r="X362" s="5">
        <f>fin_table[[#This Row],[Interest Rate]]*fin_table[[#This Row],[Loan Amount]]</f>
        <v>448.25180399999994</v>
      </c>
      <c r="Y362">
        <v>13</v>
      </c>
      <c r="Z362" s="3">
        <v>575</v>
      </c>
      <c r="AA362" s="3" t="str">
        <f t="shared" si="39"/>
        <v>Poor</v>
      </c>
      <c r="AB362" s="3" cm="1">
        <f t="array" ref="AB362">_xlfn.IFS(fin_table[[#This Row],[Transaction Status]]="Failed", 1, fin_table[[#This Row],[Transaction Status]]="Completed",0,fin_table[[#This Row],[Transaction Status]]="Pending",2)</f>
        <v>2</v>
      </c>
      <c r="AC362" s="3" t="str">
        <f>IF(fin_table[[#This Row],[Loan Defaulters]]=1,"Default", "Good")</f>
        <v>Good</v>
      </c>
      <c r="AD362" s="3">
        <f t="shared" si="40"/>
        <v>1</v>
      </c>
      <c r="AE362" s="4">
        <v>4372.91</v>
      </c>
      <c r="AF362" s="4" t="str">
        <f>IF(fin_table[[#This Row],[Monthly Income]]&lt;3000, "Low Income", IF(fin_table[[#This Row],[Monthly Income]]&lt;=5000, "Middle Income", "High Income"))</f>
        <v>Middle Income</v>
      </c>
      <c r="AG362" t="s">
        <v>30</v>
      </c>
      <c r="AH362" t="s">
        <v>3635</v>
      </c>
      <c r="AI362" t="str">
        <f t="shared" si="41"/>
        <v>Low-Risk</v>
      </c>
    </row>
    <row r="363" spans="1:35" x14ac:dyDescent="0.35">
      <c r="A363" t="s">
        <v>1412</v>
      </c>
      <c r="B363" t="s">
        <v>1413</v>
      </c>
      <c r="C363" t="s">
        <v>1414</v>
      </c>
      <c r="D363" s="1">
        <v>44946</v>
      </c>
      <c r="E363" s="1" t="str">
        <f t="shared" si="35"/>
        <v>20</v>
      </c>
      <c r="F363" s="1" t="str">
        <f t="shared" si="36"/>
        <v>Jan</v>
      </c>
      <c r="G363" s="6" t="s">
        <v>56</v>
      </c>
      <c r="H363" s="5">
        <v>1410.49</v>
      </c>
      <c r="I363" s="5" t="str">
        <f>IF(fin_table[[#This Row],[Account Balance]]&lt;20000,"Active", "Not Active")</f>
        <v>Not Active</v>
      </c>
      <c r="J363" s="5">
        <v>34584.370000000003</v>
      </c>
      <c r="K363" s="5" t="str">
        <f t="shared" si="37"/>
        <v>Medium</v>
      </c>
      <c r="L363" s="6" t="s">
        <v>24</v>
      </c>
      <c r="M363">
        <v>27</v>
      </c>
      <c r="N363" s="6" t="str">
        <f t="shared" si="38"/>
        <v>Adults</v>
      </c>
      <c r="O363" s="6" t="s">
        <v>25</v>
      </c>
      <c r="P363" s="6" t="s">
        <v>36</v>
      </c>
      <c r="Q363" t="s">
        <v>852</v>
      </c>
      <c r="R363" s="6" t="s">
        <v>38</v>
      </c>
      <c r="S363" s="6" t="s">
        <v>29</v>
      </c>
      <c r="T363" s="14">
        <v>4.0500000000000001E-2</v>
      </c>
      <c r="U363">
        <v>4.05</v>
      </c>
      <c r="V363" t="str">
        <f>IF(fin_table[[#This Row],[Interest Rate(%)]]&gt;4,"high","low")</f>
        <v>high</v>
      </c>
      <c r="W363" s="5">
        <v>44624.68</v>
      </c>
      <c r="X363" s="5">
        <f>fin_table[[#This Row],[Interest Rate]]*fin_table[[#This Row],[Loan Amount]]</f>
        <v>1807.29954</v>
      </c>
      <c r="Y363">
        <v>13</v>
      </c>
      <c r="Z363" s="3">
        <v>675</v>
      </c>
      <c r="AA363" s="3" t="str">
        <f t="shared" si="39"/>
        <v>Good</v>
      </c>
      <c r="AB363" s="3" cm="1">
        <f t="array" ref="AB363">_xlfn.IFS(fin_table[[#This Row],[Transaction Status]]="Failed", 1, fin_table[[#This Row],[Transaction Status]]="Completed",0,fin_table[[#This Row],[Transaction Status]]="Pending",2)</f>
        <v>1</v>
      </c>
      <c r="AC363" s="3" t="str">
        <f>IF(fin_table[[#This Row],[Loan Defaulters]]=1,"Default", "Good")</f>
        <v>Default</v>
      </c>
      <c r="AD363" s="3">
        <f t="shared" si="40"/>
        <v>3</v>
      </c>
      <c r="AE363" s="4">
        <v>6694.23</v>
      </c>
      <c r="AF363" s="4" t="str">
        <f>IF(fin_table[[#This Row],[Monthly Income]]&lt;3000, "Low Income", IF(fin_table[[#This Row],[Monthly Income]]&lt;=5000, "Middle Income", "High Income"))</f>
        <v>High Income</v>
      </c>
      <c r="AG363" t="s">
        <v>30</v>
      </c>
      <c r="AH363" t="s">
        <v>3636</v>
      </c>
      <c r="AI363" t="str">
        <f t="shared" si="41"/>
        <v>Low-Risk</v>
      </c>
    </row>
    <row r="364" spans="1:35" x14ac:dyDescent="0.35">
      <c r="A364" t="s">
        <v>1415</v>
      </c>
      <c r="B364" t="s">
        <v>1416</v>
      </c>
      <c r="C364" t="s">
        <v>1417</v>
      </c>
      <c r="D364" s="1">
        <v>44658</v>
      </c>
      <c r="E364" s="1" t="str">
        <f t="shared" si="35"/>
        <v>07</v>
      </c>
      <c r="F364" s="1" t="str">
        <f t="shared" si="36"/>
        <v>Apr</v>
      </c>
      <c r="G364" s="6" t="s">
        <v>71</v>
      </c>
      <c r="H364" s="5">
        <v>5970.84</v>
      </c>
      <c r="I364" s="5" t="str">
        <f>IF(fin_table[[#This Row],[Account Balance]]&lt;20000,"Active", "Not Active")</f>
        <v>Active</v>
      </c>
      <c r="J364" s="5">
        <v>2223.34</v>
      </c>
      <c r="K364" s="5" t="str">
        <f t="shared" si="37"/>
        <v>Low</v>
      </c>
      <c r="L364" s="6" t="s">
        <v>49</v>
      </c>
      <c r="M364">
        <v>69</v>
      </c>
      <c r="N364" s="6" t="str">
        <f t="shared" si="38"/>
        <v>Seniors</v>
      </c>
      <c r="O364" s="6" t="s">
        <v>25</v>
      </c>
      <c r="P364" s="6" t="s">
        <v>26</v>
      </c>
      <c r="Q364" t="s">
        <v>1418</v>
      </c>
      <c r="R364" s="6" t="s">
        <v>28</v>
      </c>
      <c r="S364" s="6" t="s">
        <v>62</v>
      </c>
      <c r="T364" s="14">
        <v>4.0899999999999999E-2</v>
      </c>
      <c r="U364">
        <v>4.09</v>
      </c>
      <c r="V364" t="str">
        <f>IF(fin_table[[#This Row],[Interest Rate(%)]]&gt;4,"high","low")</f>
        <v>high</v>
      </c>
      <c r="W364" s="5">
        <v>19726.259999999998</v>
      </c>
      <c r="X364" s="5">
        <f>fin_table[[#This Row],[Interest Rate]]*fin_table[[#This Row],[Loan Amount]]</f>
        <v>806.80403399999989</v>
      </c>
      <c r="Y364">
        <v>19</v>
      </c>
      <c r="Z364" s="3">
        <v>354</v>
      </c>
      <c r="AA364" s="3" t="str">
        <f t="shared" si="39"/>
        <v>Poor</v>
      </c>
      <c r="AB364" s="3" cm="1">
        <f t="array" ref="AB364">_xlfn.IFS(fin_table[[#This Row],[Transaction Status]]="Failed", 1, fin_table[[#This Row],[Transaction Status]]="Completed",0,fin_table[[#This Row],[Transaction Status]]="Pending",2)</f>
        <v>2</v>
      </c>
      <c r="AC364" s="3" t="str">
        <f>IF(fin_table[[#This Row],[Loan Defaulters]]=1,"Default", "Good")</f>
        <v>Good</v>
      </c>
      <c r="AD364" s="3">
        <f t="shared" si="40"/>
        <v>1</v>
      </c>
      <c r="AE364" s="4">
        <v>11787.3</v>
      </c>
      <c r="AF364" s="4" t="str">
        <f>IF(fin_table[[#This Row],[Monthly Income]]&lt;3000, "Low Income", IF(fin_table[[#This Row],[Monthly Income]]&lt;=5000, "Middle Income", "High Income"))</f>
        <v>High Income</v>
      </c>
      <c r="AG364" t="s">
        <v>45</v>
      </c>
      <c r="AH364" t="s">
        <v>3636</v>
      </c>
      <c r="AI364" t="str">
        <f t="shared" si="41"/>
        <v>Low-Risk</v>
      </c>
    </row>
    <row r="365" spans="1:35" x14ac:dyDescent="0.35">
      <c r="A365" t="s">
        <v>1419</v>
      </c>
      <c r="B365" t="s">
        <v>1420</v>
      </c>
      <c r="C365" t="s">
        <v>1421</v>
      </c>
      <c r="D365" s="1">
        <v>44907</v>
      </c>
      <c r="E365" s="1" t="str">
        <f t="shared" si="35"/>
        <v>12</v>
      </c>
      <c r="F365" s="1" t="str">
        <f t="shared" si="36"/>
        <v>Dec</v>
      </c>
      <c r="G365" s="6" t="s">
        <v>23</v>
      </c>
      <c r="H365" s="5">
        <v>6031.29</v>
      </c>
      <c r="I365" s="5" t="str">
        <f>IF(fin_table[[#This Row],[Account Balance]]&lt;20000,"Active", "Not Active")</f>
        <v>Active</v>
      </c>
      <c r="J365" s="5">
        <v>9400.27</v>
      </c>
      <c r="K365" s="5" t="str">
        <f t="shared" si="37"/>
        <v>Low</v>
      </c>
      <c r="L365" s="6" t="s">
        <v>100</v>
      </c>
      <c r="M365">
        <v>30</v>
      </c>
      <c r="N365" s="6" t="str">
        <f t="shared" si="38"/>
        <v>Adults</v>
      </c>
      <c r="O365" s="6" t="s">
        <v>25</v>
      </c>
      <c r="P365" s="6" t="s">
        <v>36</v>
      </c>
      <c r="Q365" t="s">
        <v>945</v>
      </c>
      <c r="R365" s="6" t="s">
        <v>52</v>
      </c>
      <c r="S365" s="6" t="s">
        <v>29</v>
      </c>
      <c r="T365" s="14">
        <v>4.4999999999999998E-2</v>
      </c>
      <c r="U365">
        <v>4.4999999999999998E-2</v>
      </c>
      <c r="V365" t="str">
        <f>IF(fin_table[[#This Row],[Interest Rate(%)]]&gt;4,"high","low")</f>
        <v>low</v>
      </c>
      <c r="W365" s="5">
        <v>18038.189999999999</v>
      </c>
      <c r="X365" s="5">
        <f>fin_table[[#This Row],[Interest Rate]]*fin_table[[#This Row],[Loan Amount]]</f>
        <v>811.71854999999994</v>
      </c>
      <c r="Y365">
        <v>13</v>
      </c>
      <c r="Z365" s="3">
        <v>325</v>
      </c>
      <c r="AA365" s="3" t="str">
        <f t="shared" si="39"/>
        <v>Poor</v>
      </c>
      <c r="AB365" s="3" cm="1">
        <f t="array" ref="AB365">_xlfn.IFS(fin_table[[#This Row],[Transaction Status]]="Failed", 1, fin_table[[#This Row],[Transaction Status]]="Completed",0,fin_table[[#This Row],[Transaction Status]]="Pending",2)</f>
        <v>1</v>
      </c>
      <c r="AC365" s="3" t="str">
        <f>IF(fin_table[[#This Row],[Loan Defaulters]]=1,"Default", "Good")</f>
        <v>Default</v>
      </c>
      <c r="AD365" s="3">
        <f t="shared" si="40"/>
        <v>1</v>
      </c>
      <c r="AE365" s="4">
        <v>10551.12</v>
      </c>
      <c r="AF365" s="4" t="str">
        <f>IF(fin_table[[#This Row],[Monthly Income]]&lt;3000, "Low Income", IF(fin_table[[#This Row],[Monthly Income]]&lt;=5000, "Middle Income", "High Income"))</f>
        <v>High Income</v>
      </c>
      <c r="AG365" t="s">
        <v>30</v>
      </c>
      <c r="AH365" t="s">
        <v>3636</v>
      </c>
      <c r="AI365" t="str">
        <f t="shared" si="41"/>
        <v>Low-Risk</v>
      </c>
    </row>
    <row r="366" spans="1:35" x14ac:dyDescent="0.35">
      <c r="A366" t="s">
        <v>1422</v>
      </c>
      <c r="B366" t="s">
        <v>1423</v>
      </c>
      <c r="C366" t="s">
        <v>1424</v>
      </c>
      <c r="D366" s="1">
        <v>44809</v>
      </c>
      <c r="E366" s="1" t="str">
        <f t="shared" si="35"/>
        <v>05</v>
      </c>
      <c r="F366" s="1" t="str">
        <f t="shared" si="36"/>
        <v>Sep</v>
      </c>
      <c r="G366" s="6" t="s">
        <v>23</v>
      </c>
      <c r="H366" s="5">
        <v>3599.26</v>
      </c>
      <c r="I366" s="5" t="str">
        <f>IF(fin_table[[#This Row],[Account Balance]]&lt;20000,"Active", "Not Active")</f>
        <v>Not Active</v>
      </c>
      <c r="J366" s="5">
        <v>23225.37</v>
      </c>
      <c r="K366" s="5" t="str">
        <f t="shared" si="37"/>
        <v>Medium</v>
      </c>
      <c r="L366" s="6" t="s">
        <v>24</v>
      </c>
      <c r="M366">
        <v>58</v>
      </c>
      <c r="N366" s="6" t="str">
        <f t="shared" si="38"/>
        <v>Older Adults</v>
      </c>
      <c r="O366" s="6" t="s">
        <v>42</v>
      </c>
      <c r="P366" s="6" t="s">
        <v>50</v>
      </c>
      <c r="Q366" t="s">
        <v>955</v>
      </c>
      <c r="R366" s="6" t="s">
        <v>52</v>
      </c>
      <c r="S366" s="6" t="s">
        <v>44</v>
      </c>
      <c r="T366" s="14">
        <v>1.11E-2</v>
      </c>
      <c r="U366">
        <v>1.1100000000000001</v>
      </c>
      <c r="V366" t="str">
        <f>IF(fin_table[[#This Row],[Interest Rate(%)]]&gt;4,"high","low")</f>
        <v>low</v>
      </c>
      <c r="W366" s="5">
        <v>26681.654999999999</v>
      </c>
      <c r="X366" s="5">
        <f>fin_table[[#This Row],[Interest Rate]]*fin_table[[#This Row],[Loan Amount]]</f>
        <v>296.16637050000003</v>
      </c>
      <c r="Y366">
        <v>27</v>
      </c>
      <c r="Z366" s="3">
        <v>740</v>
      </c>
      <c r="AA366" s="3" t="str">
        <f t="shared" si="39"/>
        <v>Very Good</v>
      </c>
      <c r="AB366" s="3" cm="1">
        <f t="array" ref="AB366">_xlfn.IFS(fin_table[[#This Row],[Transaction Status]]="Failed", 1, fin_table[[#This Row],[Transaction Status]]="Completed",0,fin_table[[#This Row],[Transaction Status]]="Pending",2)</f>
        <v>0</v>
      </c>
      <c r="AC366" s="3" t="str">
        <f>IF(fin_table[[#This Row],[Loan Defaulters]]=1,"Default", "Good")</f>
        <v>Good</v>
      </c>
      <c r="AD366" s="3">
        <f t="shared" si="40"/>
        <v>4</v>
      </c>
      <c r="AE366" s="4">
        <v>9554.59</v>
      </c>
      <c r="AF366" s="4" t="str">
        <f>IF(fin_table[[#This Row],[Monthly Income]]&lt;3000, "Low Income", IF(fin_table[[#This Row],[Monthly Income]]&lt;=5000, "Middle Income", "High Income"))</f>
        <v>High Income</v>
      </c>
      <c r="AG366" t="s">
        <v>63</v>
      </c>
      <c r="AH366" t="s">
        <v>3635</v>
      </c>
      <c r="AI366" t="str">
        <f t="shared" si="41"/>
        <v>Low-Risk</v>
      </c>
    </row>
    <row r="367" spans="1:35" x14ac:dyDescent="0.35">
      <c r="A367" t="s">
        <v>1425</v>
      </c>
      <c r="B367" t="s">
        <v>1426</v>
      </c>
      <c r="C367" t="s">
        <v>1427</v>
      </c>
      <c r="D367" s="1">
        <v>44672</v>
      </c>
      <c r="E367" s="1" t="str">
        <f t="shared" si="35"/>
        <v>21</v>
      </c>
      <c r="F367" s="1" t="str">
        <f t="shared" si="36"/>
        <v>Apr</v>
      </c>
      <c r="G367" s="6" t="s">
        <v>71</v>
      </c>
      <c r="H367" s="5">
        <v>4638.82</v>
      </c>
      <c r="I367" s="5" t="str">
        <f>IF(fin_table[[#This Row],[Account Balance]]&lt;20000,"Active", "Not Active")</f>
        <v>Not Active</v>
      </c>
      <c r="J367" s="5">
        <v>23288.75</v>
      </c>
      <c r="K367" s="5" t="str">
        <f t="shared" si="37"/>
        <v>Medium</v>
      </c>
      <c r="L367" s="6" t="s">
        <v>100</v>
      </c>
      <c r="M367">
        <v>63</v>
      </c>
      <c r="N367" s="6" t="str">
        <f t="shared" si="38"/>
        <v>Seniors</v>
      </c>
      <c r="O367" s="6" t="s">
        <v>42</v>
      </c>
      <c r="P367" s="6" t="s">
        <v>36</v>
      </c>
      <c r="Q367" t="s">
        <v>1428</v>
      </c>
      <c r="R367" s="6" t="s">
        <v>52</v>
      </c>
      <c r="S367" s="6" t="s">
        <v>29</v>
      </c>
      <c r="T367" s="14">
        <v>3.2500000000000001E-2</v>
      </c>
      <c r="U367">
        <v>3.25</v>
      </c>
      <c r="V367" t="str">
        <f>IF(fin_table[[#This Row],[Interest Rate(%)]]&gt;4,"high","low")</f>
        <v>low</v>
      </c>
      <c r="W367" s="5">
        <v>11518.38</v>
      </c>
      <c r="X367" s="5">
        <f>fin_table[[#This Row],[Interest Rate]]*fin_table[[#This Row],[Loan Amount]]</f>
        <v>374.34735000000001</v>
      </c>
      <c r="Y367">
        <v>3</v>
      </c>
      <c r="Z367" s="3">
        <v>496</v>
      </c>
      <c r="AA367" s="3" t="str">
        <f t="shared" si="39"/>
        <v>Poor</v>
      </c>
      <c r="AB367" s="3" cm="1">
        <f t="array" ref="AB367">_xlfn.IFS(fin_table[[#This Row],[Transaction Status]]="Failed", 1, fin_table[[#This Row],[Transaction Status]]="Completed",0,fin_table[[#This Row],[Transaction Status]]="Pending",2)</f>
        <v>1</v>
      </c>
      <c r="AC367" s="3" t="str">
        <f>IF(fin_table[[#This Row],[Loan Defaulters]]=1,"Default", "Good")</f>
        <v>Default</v>
      </c>
      <c r="AD367" s="3">
        <f t="shared" si="40"/>
        <v>1</v>
      </c>
      <c r="AE367" s="4">
        <v>8888.69</v>
      </c>
      <c r="AF367" s="4" t="str">
        <f>IF(fin_table[[#This Row],[Monthly Income]]&lt;3000, "Low Income", IF(fin_table[[#This Row],[Monthly Income]]&lt;=5000, "Middle Income", "High Income"))</f>
        <v>High Income</v>
      </c>
      <c r="AG367" t="s">
        <v>30</v>
      </c>
      <c r="AH367" t="s">
        <v>3636</v>
      </c>
      <c r="AI367" t="str">
        <f t="shared" si="41"/>
        <v>Low-Risk</v>
      </c>
    </row>
    <row r="368" spans="1:35" x14ac:dyDescent="0.35">
      <c r="A368" t="s">
        <v>1429</v>
      </c>
      <c r="B368" t="s">
        <v>1430</v>
      </c>
      <c r="C368" t="s">
        <v>1431</v>
      </c>
      <c r="D368" s="1">
        <v>45046</v>
      </c>
      <c r="E368" s="1" t="str">
        <f t="shared" si="35"/>
        <v>30</v>
      </c>
      <c r="F368" s="1" t="str">
        <f t="shared" si="36"/>
        <v>Apr</v>
      </c>
      <c r="G368" s="6" t="s">
        <v>56</v>
      </c>
      <c r="H368" s="5">
        <v>476.02</v>
      </c>
      <c r="I368" s="5" t="str">
        <f>IF(fin_table[[#This Row],[Account Balance]]&lt;20000,"Active", "Not Active")</f>
        <v>Not Active</v>
      </c>
      <c r="J368" s="5">
        <v>34599.33</v>
      </c>
      <c r="K368" s="5" t="str">
        <f t="shared" si="37"/>
        <v>Medium</v>
      </c>
      <c r="L368" s="6" t="s">
        <v>125</v>
      </c>
      <c r="M368">
        <v>67</v>
      </c>
      <c r="N368" s="6" t="str">
        <f t="shared" si="38"/>
        <v>Seniors</v>
      </c>
      <c r="O368" s="6" t="s">
        <v>25</v>
      </c>
      <c r="P368" s="6" t="s">
        <v>36</v>
      </c>
      <c r="Q368" t="s">
        <v>910</v>
      </c>
      <c r="R368" s="6" t="s">
        <v>52</v>
      </c>
      <c r="S368" s="6" t="s">
        <v>62</v>
      </c>
      <c r="T368" s="14">
        <v>1.8599999999999998E-2</v>
      </c>
      <c r="U368">
        <v>1.86</v>
      </c>
      <c r="V368" t="str">
        <f>IF(fin_table[[#This Row],[Interest Rate(%)]]&gt;4,"high","low")</f>
        <v>low</v>
      </c>
      <c r="W368" s="5">
        <v>31168.87</v>
      </c>
      <c r="X368" s="5">
        <f>fin_table[[#This Row],[Interest Rate]]*fin_table[[#This Row],[Loan Amount]]</f>
        <v>579.74098199999992</v>
      </c>
      <c r="Y368">
        <v>1</v>
      </c>
      <c r="Z368" s="3">
        <v>542</v>
      </c>
      <c r="AA368" s="3" t="str">
        <f t="shared" si="39"/>
        <v>Poor</v>
      </c>
      <c r="AB368" s="3" cm="1">
        <f t="array" ref="AB368">_xlfn.IFS(fin_table[[#This Row],[Transaction Status]]="Failed", 1, fin_table[[#This Row],[Transaction Status]]="Completed",0,fin_table[[#This Row],[Transaction Status]]="Pending",2)</f>
        <v>2</v>
      </c>
      <c r="AC368" s="3" t="str">
        <f>IF(fin_table[[#This Row],[Loan Defaulters]]=1,"Default", "Good")</f>
        <v>Good</v>
      </c>
      <c r="AD368" s="3">
        <f t="shared" si="40"/>
        <v>1</v>
      </c>
      <c r="AE368" s="4">
        <v>12964.73</v>
      </c>
      <c r="AF368" s="4" t="str">
        <f>IF(fin_table[[#This Row],[Monthly Income]]&lt;3000, "Low Income", IF(fin_table[[#This Row],[Monthly Income]]&lt;=5000, "Middle Income", "High Income"))</f>
        <v>High Income</v>
      </c>
      <c r="AG368" t="s">
        <v>30</v>
      </c>
      <c r="AH368" t="s">
        <v>3636</v>
      </c>
      <c r="AI368" t="str">
        <f t="shared" si="41"/>
        <v>Low-Risk</v>
      </c>
    </row>
    <row r="369" spans="1:35" x14ac:dyDescent="0.35">
      <c r="A369" t="s">
        <v>1432</v>
      </c>
      <c r="B369" t="s">
        <v>1219</v>
      </c>
      <c r="C369" t="s">
        <v>1433</v>
      </c>
      <c r="D369" s="1">
        <v>44774</v>
      </c>
      <c r="E369" s="1" t="str">
        <f t="shared" si="35"/>
        <v>01</v>
      </c>
      <c r="F369" s="1" t="str">
        <f t="shared" si="36"/>
        <v>Aug</v>
      </c>
      <c r="G369" s="6" t="s">
        <v>71</v>
      </c>
      <c r="H369" s="5">
        <v>7484.01</v>
      </c>
      <c r="I369" s="5" t="str">
        <f>IF(fin_table[[#This Row],[Account Balance]]&lt;20000,"Active", "Not Active")</f>
        <v>Not Active</v>
      </c>
      <c r="J369" s="5">
        <v>45600.44</v>
      </c>
      <c r="K369" s="5" t="str">
        <f t="shared" si="37"/>
        <v>Medium</v>
      </c>
      <c r="L369" s="6" t="s">
        <v>35</v>
      </c>
      <c r="M369">
        <v>32</v>
      </c>
      <c r="N369" s="6" t="str">
        <f t="shared" si="38"/>
        <v>Adults</v>
      </c>
      <c r="O369" s="6" t="s">
        <v>25</v>
      </c>
      <c r="P369" s="6" t="s">
        <v>50</v>
      </c>
      <c r="Q369" t="s">
        <v>1434</v>
      </c>
      <c r="R369" s="6" t="s">
        <v>28</v>
      </c>
      <c r="S369" s="6" t="s">
        <v>44</v>
      </c>
      <c r="T369" s="14">
        <v>2.3599999999999999E-2</v>
      </c>
      <c r="U369">
        <v>2.36</v>
      </c>
      <c r="V369" t="str">
        <f>IF(fin_table[[#This Row],[Interest Rate(%)]]&gt;4,"high","low")</f>
        <v>low</v>
      </c>
      <c r="W369" s="5">
        <v>12569.61</v>
      </c>
      <c r="X369" s="5">
        <f>fin_table[[#This Row],[Interest Rate]]*fin_table[[#This Row],[Loan Amount]]</f>
        <v>296.64279600000003</v>
      </c>
      <c r="Y369">
        <v>12</v>
      </c>
      <c r="Z369" s="3">
        <v>489</v>
      </c>
      <c r="AA369" s="3" t="str">
        <f t="shared" si="39"/>
        <v>Poor</v>
      </c>
      <c r="AB369" s="3" cm="1">
        <f t="array" ref="AB369">_xlfn.IFS(fin_table[[#This Row],[Transaction Status]]="Failed", 1, fin_table[[#This Row],[Transaction Status]]="Completed",0,fin_table[[#This Row],[Transaction Status]]="Pending",2)</f>
        <v>0</v>
      </c>
      <c r="AC369" s="3" t="str">
        <f>IF(fin_table[[#This Row],[Loan Defaulters]]=1,"Default", "Good")</f>
        <v>Good</v>
      </c>
      <c r="AD369" s="3">
        <f t="shared" si="40"/>
        <v>1</v>
      </c>
      <c r="AE369" s="4">
        <v>5054.33</v>
      </c>
      <c r="AF369" s="4" t="str">
        <f>IF(fin_table[[#This Row],[Monthly Income]]&lt;3000, "Low Income", IF(fin_table[[#This Row],[Monthly Income]]&lt;=5000, "Middle Income", "High Income"))</f>
        <v>High Income</v>
      </c>
      <c r="AG369" t="s">
        <v>45</v>
      </c>
      <c r="AH369" t="s">
        <v>3636</v>
      </c>
      <c r="AI369" t="str">
        <f t="shared" si="41"/>
        <v>Low-Risk</v>
      </c>
    </row>
    <row r="370" spans="1:35" x14ac:dyDescent="0.35">
      <c r="A370" t="s">
        <v>1435</v>
      </c>
      <c r="B370" t="s">
        <v>1436</v>
      </c>
      <c r="C370" t="s">
        <v>1437</v>
      </c>
      <c r="D370" s="1">
        <v>44893</v>
      </c>
      <c r="E370" s="1" t="str">
        <f t="shared" si="35"/>
        <v>28</v>
      </c>
      <c r="F370" s="1" t="str">
        <f t="shared" si="36"/>
        <v>Nov</v>
      </c>
      <c r="G370" s="6" t="s">
        <v>23</v>
      </c>
      <c r="H370" s="5">
        <v>5538.29</v>
      </c>
      <c r="I370" s="5" t="str">
        <f>IF(fin_table[[#This Row],[Account Balance]]&lt;20000,"Active", "Not Active")</f>
        <v>Not Active</v>
      </c>
      <c r="J370" s="5">
        <v>32312.58</v>
      </c>
      <c r="K370" s="5" t="str">
        <f t="shared" si="37"/>
        <v>Medium</v>
      </c>
      <c r="L370" s="6" t="s">
        <v>125</v>
      </c>
      <c r="M370">
        <v>59</v>
      </c>
      <c r="N370" s="6" t="str">
        <f t="shared" si="38"/>
        <v>Older Adults</v>
      </c>
      <c r="O370" s="6" t="s">
        <v>25</v>
      </c>
      <c r="P370" s="6" t="s">
        <v>36</v>
      </c>
      <c r="Q370" t="s">
        <v>37</v>
      </c>
      <c r="R370" s="6" t="s">
        <v>28</v>
      </c>
      <c r="S370" s="6" t="s">
        <v>29</v>
      </c>
      <c r="T370" s="14">
        <v>4.1399999999999999E-2</v>
      </c>
      <c r="U370">
        <v>4.1399999999999997</v>
      </c>
      <c r="V370" t="str">
        <f>IF(fin_table[[#This Row],[Interest Rate(%)]]&gt;4,"high","low")</f>
        <v>high</v>
      </c>
      <c r="W370" s="5">
        <v>26681.654999999999</v>
      </c>
      <c r="X370" s="5">
        <f>fin_table[[#This Row],[Interest Rate]]*fin_table[[#This Row],[Loan Amount]]</f>
        <v>1104.6205169999998</v>
      </c>
      <c r="Y370">
        <v>15</v>
      </c>
      <c r="Z370" s="3">
        <v>575</v>
      </c>
      <c r="AA370" s="3" t="str">
        <f t="shared" si="39"/>
        <v>Poor</v>
      </c>
      <c r="AB370" s="3" cm="1">
        <f t="array" ref="AB370">_xlfn.IFS(fin_table[[#This Row],[Transaction Status]]="Failed", 1, fin_table[[#This Row],[Transaction Status]]="Completed",0,fin_table[[#This Row],[Transaction Status]]="Pending",2)</f>
        <v>1</v>
      </c>
      <c r="AC370" s="3" t="str">
        <f>IF(fin_table[[#This Row],[Loan Defaulters]]=1,"Default", "Good")</f>
        <v>Default</v>
      </c>
      <c r="AD370" s="3">
        <f t="shared" si="40"/>
        <v>1</v>
      </c>
      <c r="AE370" s="4">
        <v>7752.12</v>
      </c>
      <c r="AF370" s="4" t="str">
        <f>IF(fin_table[[#This Row],[Monthly Income]]&lt;3000, "Low Income", IF(fin_table[[#This Row],[Monthly Income]]&lt;=5000, "Middle Income", "High Income"))</f>
        <v>High Income</v>
      </c>
      <c r="AG370" t="s">
        <v>30</v>
      </c>
      <c r="AH370" t="s">
        <v>3635</v>
      </c>
      <c r="AI370" t="str">
        <f t="shared" si="41"/>
        <v>Low-Risk</v>
      </c>
    </row>
    <row r="371" spans="1:35" x14ac:dyDescent="0.35">
      <c r="A371" t="s">
        <v>1438</v>
      </c>
      <c r="B371" t="s">
        <v>1439</v>
      </c>
      <c r="C371" t="s">
        <v>1440</v>
      </c>
      <c r="D371" s="1">
        <v>45013</v>
      </c>
      <c r="E371" s="1" t="str">
        <f t="shared" si="35"/>
        <v>28</v>
      </c>
      <c r="F371" s="1" t="str">
        <f t="shared" si="36"/>
        <v>Mar</v>
      </c>
      <c r="G371" s="6" t="s">
        <v>71</v>
      </c>
      <c r="H371" s="5">
        <v>671.64</v>
      </c>
      <c r="I371" s="5" t="str">
        <f>IF(fin_table[[#This Row],[Account Balance]]&lt;20000,"Active", "Not Active")</f>
        <v>Not Active</v>
      </c>
      <c r="J371" s="5">
        <v>47723.22</v>
      </c>
      <c r="K371" s="5" t="str">
        <f t="shared" si="37"/>
        <v>Medium</v>
      </c>
      <c r="L371" s="6" t="s">
        <v>100</v>
      </c>
      <c r="M371">
        <v>24</v>
      </c>
      <c r="N371" s="6" t="str">
        <f t="shared" si="38"/>
        <v>Young Adults</v>
      </c>
      <c r="O371" s="6" t="s">
        <v>42</v>
      </c>
      <c r="P371" s="6" t="s">
        <v>50</v>
      </c>
      <c r="Q371" t="s">
        <v>1441</v>
      </c>
      <c r="R371" s="6" t="s">
        <v>28</v>
      </c>
      <c r="S371" s="6" t="s">
        <v>44</v>
      </c>
      <c r="T371" s="14">
        <v>1.77E-2</v>
      </c>
      <c r="U371">
        <v>1.77</v>
      </c>
      <c r="V371" t="str">
        <f>IF(fin_table[[#This Row],[Interest Rate(%)]]&gt;4,"high","low")</f>
        <v>low</v>
      </c>
      <c r="W371" s="5">
        <v>26681.654999999999</v>
      </c>
      <c r="X371" s="5">
        <f>fin_table[[#This Row],[Interest Rate]]*fin_table[[#This Row],[Loan Amount]]</f>
        <v>472.26529349999998</v>
      </c>
      <c r="Y371">
        <v>11</v>
      </c>
      <c r="Z371" s="3">
        <v>708</v>
      </c>
      <c r="AA371" s="3" t="str">
        <f t="shared" si="39"/>
        <v>Good</v>
      </c>
      <c r="AB371" s="3" cm="1">
        <f t="array" ref="AB371">_xlfn.IFS(fin_table[[#This Row],[Transaction Status]]="Failed", 1, fin_table[[#This Row],[Transaction Status]]="Completed",0,fin_table[[#This Row],[Transaction Status]]="Pending",2)</f>
        <v>0</v>
      </c>
      <c r="AC371" s="3" t="str">
        <f>IF(fin_table[[#This Row],[Loan Defaulters]]=1,"Default", "Good")</f>
        <v>Good</v>
      </c>
      <c r="AD371" s="3">
        <f t="shared" si="40"/>
        <v>3</v>
      </c>
      <c r="AE371" s="4">
        <v>4020.88</v>
      </c>
      <c r="AF371" s="4" t="str">
        <f>IF(fin_table[[#This Row],[Monthly Income]]&lt;3000, "Low Income", IF(fin_table[[#This Row],[Monthly Income]]&lt;=5000, "Middle Income", "High Income"))</f>
        <v>Middle Income</v>
      </c>
      <c r="AG371" t="s">
        <v>45</v>
      </c>
      <c r="AH371" t="s">
        <v>3635</v>
      </c>
      <c r="AI371" t="str">
        <f t="shared" si="41"/>
        <v>Low-Risk</v>
      </c>
    </row>
    <row r="372" spans="1:35" x14ac:dyDescent="0.35">
      <c r="A372" t="s">
        <v>1442</v>
      </c>
      <c r="B372" t="s">
        <v>1443</v>
      </c>
      <c r="C372" t="s">
        <v>1444</v>
      </c>
      <c r="D372" s="1">
        <v>44905</v>
      </c>
      <c r="E372" s="1" t="str">
        <f t="shared" si="35"/>
        <v>10</v>
      </c>
      <c r="F372" s="1" t="str">
        <f t="shared" si="36"/>
        <v>Dec</v>
      </c>
      <c r="G372" s="6" t="s">
        <v>23</v>
      </c>
      <c r="H372" s="5">
        <v>6839.48</v>
      </c>
      <c r="I372" s="5" t="str">
        <f>IF(fin_table[[#This Row],[Account Balance]]&lt;20000,"Active", "Not Active")</f>
        <v>Not Active</v>
      </c>
      <c r="J372" s="5">
        <v>44199.17</v>
      </c>
      <c r="K372" s="5" t="str">
        <f t="shared" si="37"/>
        <v>Medium</v>
      </c>
      <c r="L372" s="6" t="s">
        <v>49</v>
      </c>
      <c r="M372">
        <v>57</v>
      </c>
      <c r="N372" s="6" t="str">
        <f t="shared" si="38"/>
        <v>Older Adults</v>
      </c>
      <c r="O372" s="6" t="s">
        <v>25</v>
      </c>
      <c r="P372" s="6" t="s">
        <v>26</v>
      </c>
      <c r="Q372" t="s">
        <v>1445</v>
      </c>
      <c r="R372" s="6" t="s">
        <v>28</v>
      </c>
      <c r="S372" s="6" t="s">
        <v>44</v>
      </c>
      <c r="T372" s="14">
        <v>3.5499999999999997E-2</v>
      </c>
      <c r="U372">
        <v>3.55</v>
      </c>
      <c r="V372" t="str">
        <f>IF(fin_table[[#This Row],[Interest Rate(%)]]&gt;4,"high","low")</f>
        <v>low</v>
      </c>
      <c r="W372" s="5">
        <v>26681.654999999999</v>
      </c>
      <c r="X372" s="5">
        <f>fin_table[[#This Row],[Interest Rate]]*fin_table[[#This Row],[Loan Amount]]</f>
        <v>947.19875249999984</v>
      </c>
      <c r="Y372">
        <v>10</v>
      </c>
      <c r="Z372" s="3">
        <v>639</v>
      </c>
      <c r="AA372" s="3" t="str">
        <f t="shared" si="39"/>
        <v>Fair</v>
      </c>
      <c r="AB372" s="3" cm="1">
        <f t="array" ref="AB372">_xlfn.IFS(fin_table[[#This Row],[Transaction Status]]="Failed", 1, fin_table[[#This Row],[Transaction Status]]="Completed",0,fin_table[[#This Row],[Transaction Status]]="Pending",2)</f>
        <v>0</v>
      </c>
      <c r="AC372" s="3" t="str">
        <f>IF(fin_table[[#This Row],[Loan Defaulters]]=1,"Default", "Good")</f>
        <v>Good</v>
      </c>
      <c r="AD372" s="3">
        <f t="shared" si="40"/>
        <v>2</v>
      </c>
      <c r="AE372" s="4">
        <v>9747.24</v>
      </c>
      <c r="AF372" s="4" t="str">
        <f>IF(fin_table[[#This Row],[Monthly Income]]&lt;3000, "Low Income", IF(fin_table[[#This Row],[Monthly Income]]&lt;=5000, "Middle Income", "High Income"))</f>
        <v>High Income</v>
      </c>
      <c r="AG372" t="s">
        <v>45</v>
      </c>
      <c r="AH372" t="s">
        <v>3635</v>
      </c>
      <c r="AI372" t="str">
        <f t="shared" si="41"/>
        <v>Low-Risk</v>
      </c>
    </row>
    <row r="373" spans="1:35" x14ac:dyDescent="0.35">
      <c r="A373" t="s">
        <v>1446</v>
      </c>
      <c r="B373" t="s">
        <v>1447</v>
      </c>
      <c r="C373" t="s">
        <v>1448</v>
      </c>
      <c r="D373" s="1">
        <v>44930</v>
      </c>
      <c r="E373" s="1" t="str">
        <f t="shared" si="35"/>
        <v>04</v>
      </c>
      <c r="F373" s="1" t="str">
        <f t="shared" si="36"/>
        <v>Jan</v>
      </c>
      <c r="G373" s="6" t="s">
        <v>71</v>
      </c>
      <c r="H373" s="5">
        <v>4721.1400000000003</v>
      </c>
      <c r="I373" s="5" t="str">
        <f>IF(fin_table[[#This Row],[Account Balance]]&lt;20000,"Active", "Not Active")</f>
        <v>Not Active</v>
      </c>
      <c r="J373" s="5">
        <v>29640.49</v>
      </c>
      <c r="K373" s="5" t="str">
        <f t="shared" si="37"/>
        <v>Medium</v>
      </c>
      <c r="L373" s="6" t="s">
        <v>35</v>
      </c>
      <c r="M373">
        <v>45</v>
      </c>
      <c r="N373" s="6" t="str">
        <f t="shared" si="38"/>
        <v>Middle-Aged</v>
      </c>
      <c r="O373" s="6" t="s">
        <v>42</v>
      </c>
      <c r="P373" s="6" t="s">
        <v>50</v>
      </c>
      <c r="Q373" t="s">
        <v>1449</v>
      </c>
      <c r="R373" s="6" t="s">
        <v>52</v>
      </c>
      <c r="S373" s="6" t="s">
        <v>44</v>
      </c>
      <c r="T373" s="14">
        <v>3.6200000000000003E-2</v>
      </c>
      <c r="U373">
        <v>3.62</v>
      </c>
      <c r="V373" t="str">
        <f>IF(fin_table[[#This Row],[Interest Rate(%)]]&gt;4,"high","low")</f>
        <v>low</v>
      </c>
      <c r="W373" s="5">
        <v>5756.33</v>
      </c>
      <c r="X373" s="5">
        <f>fin_table[[#This Row],[Interest Rate]]*fin_table[[#This Row],[Loan Amount]]</f>
        <v>208.37914600000002</v>
      </c>
      <c r="Y373">
        <v>2</v>
      </c>
      <c r="Z373" s="3">
        <v>452</v>
      </c>
      <c r="AA373" s="3" t="str">
        <f t="shared" si="39"/>
        <v>Poor</v>
      </c>
      <c r="AB373" s="3" cm="1">
        <f t="array" ref="AB373">_xlfn.IFS(fin_table[[#This Row],[Transaction Status]]="Failed", 1, fin_table[[#This Row],[Transaction Status]]="Completed",0,fin_table[[#This Row],[Transaction Status]]="Pending",2)</f>
        <v>0</v>
      </c>
      <c r="AC373" s="3" t="str">
        <f>IF(fin_table[[#This Row],[Loan Defaulters]]=1,"Default", "Good")</f>
        <v>Good</v>
      </c>
      <c r="AD373" s="3">
        <f t="shared" si="40"/>
        <v>1</v>
      </c>
      <c r="AE373" s="4">
        <v>5257.08</v>
      </c>
      <c r="AF373" s="4" t="str">
        <f>IF(fin_table[[#This Row],[Monthly Income]]&lt;3000, "Low Income", IF(fin_table[[#This Row],[Monthly Income]]&lt;=5000, "Middle Income", "High Income"))</f>
        <v>High Income</v>
      </c>
      <c r="AG373" t="s">
        <v>45</v>
      </c>
      <c r="AH373" t="s">
        <v>3636</v>
      </c>
      <c r="AI373" t="str">
        <f t="shared" si="41"/>
        <v>Low-Risk</v>
      </c>
    </row>
    <row r="374" spans="1:35" x14ac:dyDescent="0.35">
      <c r="A374" t="s">
        <v>1450</v>
      </c>
      <c r="B374" t="s">
        <v>1451</v>
      </c>
      <c r="C374" t="s">
        <v>1452</v>
      </c>
      <c r="D374" s="1">
        <v>44834</v>
      </c>
      <c r="E374" s="1" t="str">
        <f t="shared" si="35"/>
        <v>30</v>
      </c>
      <c r="F374" s="1" t="str">
        <f t="shared" si="36"/>
        <v>Sep</v>
      </c>
      <c r="G374" s="6" t="s">
        <v>56</v>
      </c>
      <c r="H374" s="5">
        <v>441.17</v>
      </c>
      <c r="I374" s="5" t="str">
        <f>IF(fin_table[[#This Row],[Account Balance]]&lt;20000,"Active", "Not Active")</f>
        <v>Not Active</v>
      </c>
      <c r="J374" s="5">
        <v>41855.81</v>
      </c>
      <c r="K374" s="5" t="str">
        <f t="shared" si="37"/>
        <v>Medium</v>
      </c>
      <c r="L374" s="6" t="s">
        <v>125</v>
      </c>
      <c r="M374">
        <v>49</v>
      </c>
      <c r="N374" s="6" t="str">
        <f t="shared" si="38"/>
        <v>Older Adults</v>
      </c>
      <c r="O374" s="6" t="s">
        <v>42</v>
      </c>
      <c r="P374" s="6" t="s">
        <v>50</v>
      </c>
      <c r="Q374" t="s">
        <v>1453</v>
      </c>
      <c r="R374" s="6" t="s">
        <v>38</v>
      </c>
      <c r="S374" s="6" t="s">
        <v>29</v>
      </c>
      <c r="T374" s="14">
        <v>4.82E-2</v>
      </c>
      <c r="U374">
        <v>4.82</v>
      </c>
      <c r="V374" t="str">
        <f>IF(fin_table[[#This Row],[Interest Rate(%)]]&gt;4,"high","low")</f>
        <v>high</v>
      </c>
      <c r="W374" s="5">
        <v>26681.654999999999</v>
      </c>
      <c r="X374" s="5">
        <f>fin_table[[#This Row],[Interest Rate]]*fin_table[[#This Row],[Loan Amount]]</f>
        <v>1286.055771</v>
      </c>
      <c r="Y374">
        <v>13</v>
      </c>
      <c r="Z374" s="3">
        <v>697</v>
      </c>
      <c r="AA374" s="3" t="str">
        <f t="shared" si="39"/>
        <v>Good</v>
      </c>
      <c r="AB374" s="3" cm="1">
        <f t="array" ref="AB374">_xlfn.IFS(fin_table[[#This Row],[Transaction Status]]="Failed", 1, fin_table[[#This Row],[Transaction Status]]="Completed",0,fin_table[[#This Row],[Transaction Status]]="Pending",2)</f>
        <v>1</v>
      </c>
      <c r="AC374" s="3" t="str">
        <f>IF(fin_table[[#This Row],[Loan Defaulters]]=1,"Default", "Good")</f>
        <v>Default</v>
      </c>
      <c r="AD374" s="3">
        <f t="shared" si="40"/>
        <v>3</v>
      </c>
      <c r="AE374" s="4">
        <v>6339.95</v>
      </c>
      <c r="AF374" s="4" t="str">
        <f>IF(fin_table[[#This Row],[Monthly Income]]&lt;3000, "Low Income", IF(fin_table[[#This Row],[Monthly Income]]&lt;=5000, "Middle Income", "High Income"))</f>
        <v>High Income</v>
      </c>
      <c r="AG374" t="s">
        <v>63</v>
      </c>
      <c r="AH374" t="s">
        <v>3635</v>
      </c>
      <c r="AI374" t="str">
        <f t="shared" si="41"/>
        <v>Low-Risk</v>
      </c>
    </row>
    <row r="375" spans="1:35" x14ac:dyDescent="0.35">
      <c r="A375" t="s">
        <v>1454</v>
      </c>
      <c r="B375" t="s">
        <v>1455</v>
      </c>
      <c r="C375" t="s">
        <v>1456</v>
      </c>
      <c r="D375" s="1">
        <v>44828</v>
      </c>
      <c r="E375" s="1" t="str">
        <f t="shared" si="35"/>
        <v>24</v>
      </c>
      <c r="F375" s="1" t="str">
        <f t="shared" si="36"/>
        <v>Sep</v>
      </c>
      <c r="G375" s="6" t="s">
        <v>56</v>
      </c>
      <c r="H375" s="5">
        <v>9699.1200000000008</v>
      </c>
      <c r="I375" s="5" t="str">
        <f>IF(fin_table[[#This Row],[Account Balance]]&lt;20000,"Active", "Not Active")</f>
        <v>Not Active</v>
      </c>
      <c r="J375" s="5">
        <v>32486.3</v>
      </c>
      <c r="K375" s="5" t="str">
        <f t="shared" si="37"/>
        <v>Medium</v>
      </c>
      <c r="L375" s="6" t="s">
        <v>24</v>
      </c>
      <c r="M375">
        <v>52</v>
      </c>
      <c r="N375" s="6" t="str">
        <f t="shared" si="38"/>
        <v>Older Adults</v>
      </c>
      <c r="O375" s="6" t="s">
        <v>25</v>
      </c>
      <c r="P375" s="6" t="s">
        <v>26</v>
      </c>
      <c r="Q375" t="s">
        <v>1457</v>
      </c>
      <c r="R375" s="6" t="s">
        <v>28</v>
      </c>
      <c r="S375" s="6" t="s">
        <v>62</v>
      </c>
      <c r="T375" s="14">
        <v>4.1000000000000002E-2</v>
      </c>
      <c r="U375">
        <v>4.1000000000000002E-2</v>
      </c>
      <c r="V375" t="str">
        <f>IF(fin_table[[#This Row],[Interest Rate(%)]]&gt;4,"high","low")</f>
        <v>low</v>
      </c>
      <c r="W375" s="5">
        <v>36321.56</v>
      </c>
      <c r="X375" s="5">
        <f>fin_table[[#This Row],[Interest Rate]]*fin_table[[#This Row],[Loan Amount]]</f>
        <v>1489.1839600000001</v>
      </c>
      <c r="Y375">
        <v>29</v>
      </c>
      <c r="Z375" s="3">
        <v>743</v>
      </c>
      <c r="AA375" s="3" t="str">
        <f t="shared" si="39"/>
        <v>Very Good</v>
      </c>
      <c r="AB375" s="3" cm="1">
        <f t="array" ref="AB375">_xlfn.IFS(fin_table[[#This Row],[Transaction Status]]="Failed", 1, fin_table[[#This Row],[Transaction Status]]="Completed",0,fin_table[[#This Row],[Transaction Status]]="Pending",2)</f>
        <v>2</v>
      </c>
      <c r="AC375" s="3" t="str">
        <f>IF(fin_table[[#This Row],[Loan Defaulters]]=1,"Default", "Good")</f>
        <v>Good</v>
      </c>
      <c r="AD375" s="3">
        <f t="shared" si="40"/>
        <v>4</v>
      </c>
      <c r="AE375" s="4">
        <v>8126.26</v>
      </c>
      <c r="AF375" s="4" t="str">
        <f>IF(fin_table[[#This Row],[Monthly Income]]&lt;3000, "Low Income", IF(fin_table[[#This Row],[Monthly Income]]&lt;=5000, "Middle Income", "High Income"))</f>
        <v>High Income</v>
      </c>
      <c r="AG375" t="s">
        <v>30</v>
      </c>
      <c r="AH375" t="s">
        <v>3636</v>
      </c>
      <c r="AI375" t="str">
        <f t="shared" si="41"/>
        <v>Low-Risk</v>
      </c>
    </row>
    <row r="376" spans="1:35" x14ac:dyDescent="0.35">
      <c r="A376" t="s">
        <v>1458</v>
      </c>
      <c r="B376" t="s">
        <v>1459</v>
      </c>
      <c r="C376" t="s">
        <v>1460</v>
      </c>
      <c r="D376" s="1">
        <v>44755</v>
      </c>
      <c r="E376" s="1" t="str">
        <f t="shared" si="35"/>
        <v>13</v>
      </c>
      <c r="F376" s="1" t="str">
        <f t="shared" si="36"/>
        <v>Jul</v>
      </c>
      <c r="G376" s="6" t="s">
        <v>71</v>
      </c>
      <c r="H376" s="5">
        <v>9496.2099999999991</v>
      </c>
      <c r="I376" s="5" t="str">
        <f>IF(fin_table[[#This Row],[Account Balance]]&lt;20000,"Active", "Not Active")</f>
        <v>Active</v>
      </c>
      <c r="J376" s="5">
        <v>4849.33</v>
      </c>
      <c r="K376" s="5" t="str">
        <f t="shared" si="37"/>
        <v>Low</v>
      </c>
      <c r="L376" s="6" t="s">
        <v>49</v>
      </c>
      <c r="M376">
        <v>32</v>
      </c>
      <c r="N376" s="6" t="str">
        <f t="shared" si="38"/>
        <v>Adults</v>
      </c>
      <c r="O376" s="6" t="s">
        <v>25</v>
      </c>
      <c r="P376" s="6" t="s">
        <v>50</v>
      </c>
      <c r="Q376" t="s">
        <v>1461</v>
      </c>
      <c r="R376" s="6" t="s">
        <v>28</v>
      </c>
      <c r="S376" s="6" t="s">
        <v>29</v>
      </c>
      <c r="T376" s="14">
        <v>4.2099999999999999E-2</v>
      </c>
      <c r="U376">
        <v>4.21</v>
      </c>
      <c r="V376" t="str">
        <f>IF(fin_table[[#This Row],[Interest Rate(%)]]&gt;4,"high","low")</f>
        <v>high</v>
      </c>
      <c r="W376" s="5">
        <v>26681.654999999999</v>
      </c>
      <c r="X376" s="5">
        <f>fin_table[[#This Row],[Interest Rate]]*fin_table[[#This Row],[Loan Amount]]</f>
        <v>1123.2976755</v>
      </c>
      <c r="Y376">
        <v>4</v>
      </c>
      <c r="Z376" s="3">
        <v>726</v>
      </c>
      <c r="AA376" s="3" t="str">
        <f t="shared" si="39"/>
        <v>Good</v>
      </c>
      <c r="AB376" s="3" cm="1">
        <f t="array" ref="AB376">_xlfn.IFS(fin_table[[#This Row],[Transaction Status]]="Failed", 1, fin_table[[#This Row],[Transaction Status]]="Completed",0,fin_table[[#This Row],[Transaction Status]]="Pending",2)</f>
        <v>1</v>
      </c>
      <c r="AC376" s="3" t="str">
        <f>IF(fin_table[[#This Row],[Loan Defaulters]]=1,"Default", "Good")</f>
        <v>Default</v>
      </c>
      <c r="AD376" s="3">
        <f t="shared" si="40"/>
        <v>3</v>
      </c>
      <c r="AE376" s="4">
        <v>2348.02</v>
      </c>
      <c r="AF376" s="4" t="str">
        <f>IF(fin_table[[#This Row],[Monthly Income]]&lt;3000, "Low Income", IF(fin_table[[#This Row],[Monthly Income]]&lt;=5000, "Middle Income", "High Income"))</f>
        <v>Low Income</v>
      </c>
      <c r="AG376" t="s">
        <v>30</v>
      </c>
      <c r="AH376" t="s">
        <v>3635</v>
      </c>
      <c r="AI376" t="str">
        <f t="shared" si="41"/>
        <v>Low-Risk</v>
      </c>
    </row>
    <row r="377" spans="1:35" x14ac:dyDescent="0.35">
      <c r="A377" t="s">
        <v>1462</v>
      </c>
      <c r="B377" t="s">
        <v>1463</v>
      </c>
      <c r="C377" t="s">
        <v>1464</v>
      </c>
      <c r="D377" s="1">
        <v>44797</v>
      </c>
      <c r="E377" s="1" t="str">
        <f t="shared" si="35"/>
        <v>24</v>
      </c>
      <c r="F377" s="1" t="str">
        <f t="shared" si="36"/>
        <v>Aug</v>
      </c>
      <c r="G377" s="6" t="s">
        <v>71</v>
      </c>
      <c r="H377" s="5">
        <v>5177.7299999999996</v>
      </c>
      <c r="I377" s="5" t="str">
        <f>IF(fin_table[[#This Row],[Account Balance]]&lt;20000,"Active", "Not Active")</f>
        <v>Not Active</v>
      </c>
      <c r="J377" s="5">
        <v>37287.67</v>
      </c>
      <c r="K377" s="5" t="str">
        <f t="shared" si="37"/>
        <v>Medium</v>
      </c>
      <c r="L377" s="6" t="s">
        <v>125</v>
      </c>
      <c r="M377">
        <v>65</v>
      </c>
      <c r="N377" s="6" t="str">
        <f t="shared" si="38"/>
        <v>Seniors</v>
      </c>
      <c r="O377" s="6" t="s">
        <v>42</v>
      </c>
      <c r="P377" s="6" t="s">
        <v>26</v>
      </c>
      <c r="Q377" t="s">
        <v>1136</v>
      </c>
      <c r="R377" s="6" t="s">
        <v>52</v>
      </c>
      <c r="S377" s="6" t="s">
        <v>62</v>
      </c>
      <c r="T377" s="14">
        <v>3.1300000000000001E-2</v>
      </c>
      <c r="U377">
        <v>3.13</v>
      </c>
      <c r="V377" t="str">
        <f>IF(fin_table[[#This Row],[Interest Rate(%)]]&gt;4,"high","low")</f>
        <v>low</v>
      </c>
      <c r="W377" s="5">
        <v>13060.37</v>
      </c>
      <c r="X377" s="5">
        <f>fin_table[[#This Row],[Interest Rate]]*fin_table[[#This Row],[Loan Amount]]</f>
        <v>408.78958100000006</v>
      </c>
      <c r="Y377">
        <v>13</v>
      </c>
      <c r="Z377" s="3">
        <v>786</v>
      </c>
      <c r="AA377" s="3" t="str">
        <f t="shared" si="39"/>
        <v>Very Good</v>
      </c>
      <c r="AB377" s="3" cm="1">
        <f t="array" ref="AB377">_xlfn.IFS(fin_table[[#This Row],[Transaction Status]]="Failed", 1, fin_table[[#This Row],[Transaction Status]]="Completed",0,fin_table[[#This Row],[Transaction Status]]="Pending",2)</f>
        <v>2</v>
      </c>
      <c r="AC377" s="3" t="str">
        <f>IF(fin_table[[#This Row],[Loan Defaulters]]=1,"Default", "Good")</f>
        <v>Good</v>
      </c>
      <c r="AD377" s="3">
        <f t="shared" si="40"/>
        <v>4</v>
      </c>
      <c r="AE377" s="4">
        <v>3195.19</v>
      </c>
      <c r="AF377" s="4" t="str">
        <f>IF(fin_table[[#This Row],[Monthly Income]]&lt;3000, "Low Income", IF(fin_table[[#This Row],[Monthly Income]]&lt;=5000, "Middle Income", "High Income"))</f>
        <v>Middle Income</v>
      </c>
      <c r="AG377" t="s">
        <v>30</v>
      </c>
      <c r="AH377" t="s">
        <v>3636</v>
      </c>
      <c r="AI377" t="str">
        <f t="shared" si="41"/>
        <v>Low-Risk</v>
      </c>
    </row>
    <row r="378" spans="1:35" x14ac:dyDescent="0.35">
      <c r="A378" t="s">
        <v>1465</v>
      </c>
      <c r="B378" t="s">
        <v>1466</v>
      </c>
      <c r="C378" t="s">
        <v>1467</v>
      </c>
      <c r="D378" s="1">
        <v>44900</v>
      </c>
      <c r="E378" s="1" t="str">
        <f t="shared" si="35"/>
        <v>05</v>
      </c>
      <c r="F378" s="1" t="str">
        <f t="shared" si="36"/>
        <v>Dec</v>
      </c>
      <c r="G378" s="6" t="s">
        <v>56</v>
      </c>
      <c r="H378" s="5">
        <v>1027.3599999999999</v>
      </c>
      <c r="I378" s="5" t="str">
        <f>IF(fin_table[[#This Row],[Account Balance]]&lt;20000,"Active", "Not Active")</f>
        <v>Active</v>
      </c>
      <c r="J378" s="5">
        <v>5650.51</v>
      </c>
      <c r="K378" s="5" t="str">
        <f t="shared" si="37"/>
        <v>Low</v>
      </c>
      <c r="L378" s="6" t="s">
        <v>24</v>
      </c>
      <c r="M378">
        <v>53</v>
      </c>
      <c r="N378" s="6" t="str">
        <f t="shared" si="38"/>
        <v>Older Adults</v>
      </c>
      <c r="O378" s="6" t="s">
        <v>25</v>
      </c>
      <c r="P378" s="6" t="s">
        <v>26</v>
      </c>
      <c r="Q378" t="s">
        <v>1468</v>
      </c>
      <c r="R378" s="6" t="s">
        <v>52</v>
      </c>
      <c r="S378" s="6" t="s">
        <v>29</v>
      </c>
      <c r="T378" s="14">
        <v>1.7500000000000002E-2</v>
      </c>
      <c r="U378">
        <v>1.75</v>
      </c>
      <c r="V378" t="str">
        <f>IF(fin_table[[#This Row],[Interest Rate(%)]]&gt;4,"high","low")</f>
        <v>low</v>
      </c>
      <c r="W378" s="5">
        <v>26681.654999999999</v>
      </c>
      <c r="X378" s="5">
        <f>fin_table[[#This Row],[Interest Rate]]*fin_table[[#This Row],[Loan Amount]]</f>
        <v>466.92896250000001</v>
      </c>
      <c r="Y378">
        <v>13</v>
      </c>
      <c r="Z378" s="3">
        <v>503</v>
      </c>
      <c r="AA378" s="3" t="str">
        <f t="shared" si="39"/>
        <v>Poor</v>
      </c>
      <c r="AB378" s="3" cm="1">
        <f t="array" ref="AB378">_xlfn.IFS(fin_table[[#This Row],[Transaction Status]]="Failed", 1, fin_table[[#This Row],[Transaction Status]]="Completed",0,fin_table[[#This Row],[Transaction Status]]="Pending",2)</f>
        <v>1</v>
      </c>
      <c r="AC378" s="3" t="str">
        <f>IF(fin_table[[#This Row],[Loan Defaulters]]=1,"Default", "Good")</f>
        <v>Default</v>
      </c>
      <c r="AD378" s="3">
        <f t="shared" si="40"/>
        <v>1</v>
      </c>
      <c r="AE378" s="4">
        <v>10917.08</v>
      </c>
      <c r="AF378" s="4" t="str">
        <f>IF(fin_table[[#This Row],[Monthly Income]]&lt;3000, "Low Income", IF(fin_table[[#This Row],[Monthly Income]]&lt;=5000, "Middle Income", "High Income"))</f>
        <v>High Income</v>
      </c>
      <c r="AG378" t="s">
        <v>45</v>
      </c>
      <c r="AH378" t="s">
        <v>3635</v>
      </c>
      <c r="AI378" t="str">
        <f t="shared" si="41"/>
        <v>Low-Risk</v>
      </c>
    </row>
    <row r="379" spans="1:35" x14ac:dyDescent="0.35">
      <c r="A379" t="s">
        <v>1469</v>
      </c>
      <c r="B379" t="s">
        <v>1470</v>
      </c>
      <c r="C379" t="s">
        <v>1471</v>
      </c>
      <c r="D379" s="1">
        <v>44784</v>
      </c>
      <c r="E379" s="1" t="str">
        <f t="shared" si="35"/>
        <v>11</v>
      </c>
      <c r="F379" s="1" t="str">
        <f t="shared" si="36"/>
        <v>Aug</v>
      </c>
      <c r="G379" s="6" t="s">
        <v>23</v>
      </c>
      <c r="H379" s="5">
        <v>7570.75</v>
      </c>
      <c r="I379" s="5" t="str">
        <f>IF(fin_table[[#This Row],[Account Balance]]&lt;20000,"Active", "Not Active")</f>
        <v>Not Active</v>
      </c>
      <c r="J379" s="5">
        <v>30110.06</v>
      </c>
      <c r="K379" s="5" t="str">
        <f t="shared" si="37"/>
        <v>Medium</v>
      </c>
      <c r="L379" s="6" t="s">
        <v>100</v>
      </c>
      <c r="M379">
        <v>38</v>
      </c>
      <c r="N379" s="6" t="str">
        <f t="shared" si="38"/>
        <v>Middle-Aged</v>
      </c>
      <c r="O379" s="6" t="s">
        <v>25</v>
      </c>
      <c r="P379" s="6" t="s">
        <v>50</v>
      </c>
      <c r="Q379" t="s">
        <v>505</v>
      </c>
      <c r="R379" s="6" t="s">
        <v>52</v>
      </c>
      <c r="S379" s="6" t="s">
        <v>29</v>
      </c>
      <c r="T379" s="14">
        <v>2.7E-2</v>
      </c>
      <c r="U379">
        <v>2.7E-2</v>
      </c>
      <c r="V379" t="str">
        <f>IF(fin_table[[#This Row],[Interest Rate(%)]]&gt;4,"high","low")</f>
        <v>low</v>
      </c>
      <c r="W379" s="5">
        <v>7343.96</v>
      </c>
      <c r="X379" s="5">
        <f>fin_table[[#This Row],[Interest Rate]]*fin_table[[#This Row],[Loan Amount]]</f>
        <v>198.28692000000001</v>
      </c>
      <c r="Y379">
        <v>13</v>
      </c>
      <c r="Z379" s="3">
        <v>411</v>
      </c>
      <c r="AA379" s="3" t="str">
        <f t="shared" si="39"/>
        <v>Poor</v>
      </c>
      <c r="AB379" s="3" cm="1">
        <f t="array" ref="AB379">_xlfn.IFS(fin_table[[#This Row],[Transaction Status]]="Failed", 1, fin_table[[#This Row],[Transaction Status]]="Completed",0,fin_table[[#This Row],[Transaction Status]]="Pending",2)</f>
        <v>1</v>
      </c>
      <c r="AC379" s="3" t="str">
        <f>IF(fin_table[[#This Row],[Loan Defaulters]]=1,"Default", "Good")</f>
        <v>Default</v>
      </c>
      <c r="AD379" s="3">
        <f t="shared" si="40"/>
        <v>1</v>
      </c>
      <c r="AE379" s="4">
        <v>7576.61</v>
      </c>
      <c r="AF379" s="4" t="str">
        <f>IF(fin_table[[#This Row],[Monthly Income]]&lt;3000, "Low Income", IF(fin_table[[#This Row],[Monthly Income]]&lt;=5000, "Middle Income", "High Income"))</f>
        <v>High Income</v>
      </c>
      <c r="AG379" t="s">
        <v>63</v>
      </c>
      <c r="AH379" t="s">
        <v>3636</v>
      </c>
      <c r="AI379" t="str">
        <f t="shared" si="41"/>
        <v>Low-Risk</v>
      </c>
    </row>
    <row r="380" spans="1:35" x14ac:dyDescent="0.35">
      <c r="A380" t="s">
        <v>1472</v>
      </c>
      <c r="B380" t="s">
        <v>1473</v>
      </c>
      <c r="C380" t="s">
        <v>1474</v>
      </c>
      <c r="D380" s="1">
        <v>44890</v>
      </c>
      <c r="E380" s="1" t="str">
        <f t="shared" si="35"/>
        <v>25</v>
      </c>
      <c r="F380" s="1" t="str">
        <f t="shared" si="36"/>
        <v>Nov</v>
      </c>
      <c r="G380" s="6" t="s">
        <v>56</v>
      </c>
      <c r="H380" s="5">
        <v>4970.12</v>
      </c>
      <c r="I380" s="5" t="str">
        <f>IF(fin_table[[#This Row],[Account Balance]]&lt;20000,"Active", "Not Active")</f>
        <v>Not Active</v>
      </c>
      <c r="J380" s="5">
        <v>35429.370000000003</v>
      </c>
      <c r="K380" s="5" t="str">
        <f t="shared" si="37"/>
        <v>Medium</v>
      </c>
      <c r="L380" s="6" t="s">
        <v>24</v>
      </c>
      <c r="M380">
        <v>23</v>
      </c>
      <c r="N380" s="6" t="str">
        <f t="shared" si="38"/>
        <v>Young Adults</v>
      </c>
      <c r="O380" s="6" t="s">
        <v>42</v>
      </c>
      <c r="P380" s="6" t="s">
        <v>36</v>
      </c>
      <c r="Q380" t="s">
        <v>1475</v>
      </c>
      <c r="R380" s="6" t="s">
        <v>52</v>
      </c>
      <c r="S380" s="6" t="s">
        <v>29</v>
      </c>
      <c r="T380" s="14">
        <v>3.2000000000000001E-2</v>
      </c>
      <c r="U380">
        <v>3.2000000000000001E-2</v>
      </c>
      <c r="V380" t="str">
        <f>IF(fin_table[[#This Row],[Interest Rate(%)]]&gt;4,"high","low")</f>
        <v>low</v>
      </c>
      <c r="W380" s="5">
        <v>24621.87</v>
      </c>
      <c r="X380" s="5">
        <f>fin_table[[#This Row],[Interest Rate]]*fin_table[[#This Row],[Loan Amount]]</f>
        <v>787.89984000000004</v>
      </c>
      <c r="Y380">
        <v>13</v>
      </c>
      <c r="Z380" s="3">
        <v>624</v>
      </c>
      <c r="AA380" s="3" t="str">
        <f t="shared" si="39"/>
        <v>Fair</v>
      </c>
      <c r="AB380" s="3" cm="1">
        <f t="array" ref="AB380">_xlfn.IFS(fin_table[[#This Row],[Transaction Status]]="Failed", 1, fin_table[[#This Row],[Transaction Status]]="Completed",0,fin_table[[#This Row],[Transaction Status]]="Pending",2)</f>
        <v>1</v>
      </c>
      <c r="AC380" s="3" t="str">
        <f>IF(fin_table[[#This Row],[Loan Defaulters]]=1,"Default", "Good")</f>
        <v>Default</v>
      </c>
      <c r="AD380" s="3">
        <f t="shared" si="40"/>
        <v>2</v>
      </c>
      <c r="AE380" s="4">
        <v>13242.27</v>
      </c>
      <c r="AF380" s="4" t="str">
        <f>IF(fin_table[[#This Row],[Monthly Income]]&lt;3000, "Low Income", IF(fin_table[[#This Row],[Monthly Income]]&lt;=5000, "Middle Income", "High Income"))</f>
        <v>High Income</v>
      </c>
      <c r="AG380" t="s">
        <v>45</v>
      </c>
      <c r="AH380" t="s">
        <v>3636</v>
      </c>
      <c r="AI380" t="str">
        <f t="shared" si="41"/>
        <v>Low-Risk</v>
      </c>
    </row>
    <row r="381" spans="1:35" x14ac:dyDescent="0.35">
      <c r="A381" t="s">
        <v>1476</v>
      </c>
      <c r="B381" t="s">
        <v>1477</v>
      </c>
      <c r="C381" t="s">
        <v>1478</v>
      </c>
      <c r="D381" s="1">
        <v>44700</v>
      </c>
      <c r="E381" s="1" t="str">
        <f t="shared" si="35"/>
        <v>19</v>
      </c>
      <c r="F381" s="1" t="str">
        <f t="shared" si="36"/>
        <v>May</v>
      </c>
      <c r="G381" s="6" t="s">
        <v>23</v>
      </c>
      <c r="H381" s="5">
        <v>3094.23</v>
      </c>
      <c r="I381" s="5" t="str">
        <f>IF(fin_table[[#This Row],[Account Balance]]&lt;20000,"Active", "Not Active")</f>
        <v>Active</v>
      </c>
      <c r="J381" s="5">
        <v>4259.8500000000004</v>
      </c>
      <c r="K381" s="5" t="str">
        <f t="shared" si="37"/>
        <v>Low</v>
      </c>
      <c r="L381" s="6" t="s">
        <v>125</v>
      </c>
      <c r="M381">
        <v>18</v>
      </c>
      <c r="N381" s="6" t="str">
        <f t="shared" si="38"/>
        <v>Young Adults</v>
      </c>
      <c r="O381" s="6" t="s">
        <v>42</v>
      </c>
      <c r="P381" s="6" t="s">
        <v>36</v>
      </c>
      <c r="Q381" t="s">
        <v>1479</v>
      </c>
      <c r="R381" s="6" t="s">
        <v>38</v>
      </c>
      <c r="S381" s="6" t="s">
        <v>62</v>
      </c>
      <c r="T381" s="14">
        <v>3.7100000000000001E-2</v>
      </c>
      <c r="U381">
        <v>3.71</v>
      </c>
      <c r="V381" t="str">
        <f>IF(fin_table[[#This Row],[Interest Rate(%)]]&gt;4,"high","low")</f>
        <v>low</v>
      </c>
      <c r="W381" s="5">
        <v>26681.654999999999</v>
      </c>
      <c r="X381" s="5">
        <f>fin_table[[#This Row],[Interest Rate]]*fin_table[[#This Row],[Loan Amount]]</f>
        <v>989.88940049999997</v>
      </c>
      <c r="Y381">
        <v>23</v>
      </c>
      <c r="Z381" s="3">
        <v>557</v>
      </c>
      <c r="AA381" s="3" t="str">
        <f t="shared" si="39"/>
        <v>Poor</v>
      </c>
      <c r="AB381" s="3" cm="1">
        <f t="array" ref="AB381">_xlfn.IFS(fin_table[[#This Row],[Transaction Status]]="Failed", 1, fin_table[[#This Row],[Transaction Status]]="Completed",0,fin_table[[#This Row],[Transaction Status]]="Pending",2)</f>
        <v>2</v>
      </c>
      <c r="AC381" s="3" t="str">
        <f>IF(fin_table[[#This Row],[Loan Defaulters]]=1,"Default", "Good")</f>
        <v>Good</v>
      </c>
      <c r="AD381" s="3">
        <f t="shared" si="40"/>
        <v>1</v>
      </c>
      <c r="AE381" s="4">
        <v>11030.74</v>
      </c>
      <c r="AF381" s="4" t="str">
        <f>IF(fin_table[[#This Row],[Monthly Income]]&lt;3000, "Low Income", IF(fin_table[[#This Row],[Monthly Income]]&lt;=5000, "Middle Income", "High Income"))</f>
        <v>High Income</v>
      </c>
      <c r="AG381" t="s">
        <v>30</v>
      </c>
      <c r="AH381" t="s">
        <v>3635</v>
      </c>
      <c r="AI381" t="str">
        <f t="shared" si="41"/>
        <v>Low-Risk</v>
      </c>
    </row>
    <row r="382" spans="1:35" x14ac:dyDescent="0.35">
      <c r="A382" t="s">
        <v>1480</v>
      </c>
      <c r="B382" t="s">
        <v>1481</v>
      </c>
      <c r="C382" t="s">
        <v>1482</v>
      </c>
      <c r="D382" s="1">
        <v>44915</v>
      </c>
      <c r="E382" s="1" t="str">
        <f t="shared" si="35"/>
        <v>20</v>
      </c>
      <c r="F382" s="1" t="str">
        <f t="shared" si="36"/>
        <v>Dec</v>
      </c>
      <c r="G382" s="6" t="s">
        <v>71</v>
      </c>
      <c r="H382" s="5">
        <v>4965.04</v>
      </c>
      <c r="I382" s="5" t="str">
        <f>IF(fin_table[[#This Row],[Account Balance]]&lt;20000,"Active", "Not Active")</f>
        <v>Active</v>
      </c>
      <c r="J382" s="5">
        <v>12308.94</v>
      </c>
      <c r="K382" s="5" t="str">
        <f t="shared" si="37"/>
        <v>Medium</v>
      </c>
      <c r="L382" s="6" t="s">
        <v>125</v>
      </c>
      <c r="M382">
        <v>21</v>
      </c>
      <c r="N382" s="6" t="str">
        <f t="shared" si="38"/>
        <v>Young Adults</v>
      </c>
      <c r="O382" s="6" t="s">
        <v>42</v>
      </c>
      <c r="P382" s="6" t="s">
        <v>26</v>
      </c>
      <c r="Q382" t="s">
        <v>1483</v>
      </c>
      <c r="R382" s="6" t="s">
        <v>38</v>
      </c>
      <c r="S382" s="6" t="s">
        <v>29</v>
      </c>
      <c r="T382" s="14">
        <v>3.4299999999999997E-2</v>
      </c>
      <c r="U382">
        <v>3.43</v>
      </c>
      <c r="V382" t="str">
        <f>IF(fin_table[[#This Row],[Interest Rate(%)]]&gt;4,"high","low")</f>
        <v>low</v>
      </c>
      <c r="W382" s="5">
        <v>42824.9</v>
      </c>
      <c r="X382" s="5">
        <f>fin_table[[#This Row],[Interest Rate]]*fin_table[[#This Row],[Loan Amount]]</f>
        <v>1468.8940699999998</v>
      </c>
      <c r="Y382">
        <v>13</v>
      </c>
      <c r="Z382" s="3">
        <v>827</v>
      </c>
      <c r="AA382" s="3" t="str">
        <f t="shared" si="39"/>
        <v>Excellent</v>
      </c>
      <c r="AB382" s="3" cm="1">
        <f t="array" ref="AB382">_xlfn.IFS(fin_table[[#This Row],[Transaction Status]]="Failed", 1, fin_table[[#This Row],[Transaction Status]]="Completed",0,fin_table[[#This Row],[Transaction Status]]="Pending",2)</f>
        <v>1</v>
      </c>
      <c r="AC382" s="3" t="str">
        <f>IF(fin_table[[#This Row],[Loan Defaulters]]=1,"Default", "Good")</f>
        <v>Default</v>
      </c>
      <c r="AD382" s="3">
        <f t="shared" si="40"/>
        <v>5</v>
      </c>
      <c r="AE382" s="4">
        <v>2105.31</v>
      </c>
      <c r="AF382" s="4" t="str">
        <f>IF(fin_table[[#This Row],[Monthly Income]]&lt;3000, "Low Income", IF(fin_table[[#This Row],[Monthly Income]]&lt;=5000, "Middle Income", "High Income"))</f>
        <v>Low Income</v>
      </c>
      <c r="AG382" t="s">
        <v>45</v>
      </c>
      <c r="AH382" t="s">
        <v>3636</v>
      </c>
      <c r="AI382" t="str">
        <f t="shared" si="41"/>
        <v>Low-Risk</v>
      </c>
    </row>
    <row r="383" spans="1:35" x14ac:dyDescent="0.35">
      <c r="A383" t="s">
        <v>1484</v>
      </c>
      <c r="B383" t="s">
        <v>1485</v>
      </c>
      <c r="C383" t="s">
        <v>1486</v>
      </c>
      <c r="D383" s="1">
        <v>44600</v>
      </c>
      <c r="E383" s="1" t="str">
        <f t="shared" si="35"/>
        <v>08</v>
      </c>
      <c r="F383" s="1" t="str">
        <f t="shared" si="36"/>
        <v>Feb</v>
      </c>
      <c r="G383" s="6" t="s">
        <v>71</v>
      </c>
      <c r="H383" s="5">
        <v>5272.2</v>
      </c>
      <c r="I383" s="5" t="str">
        <f>IF(fin_table[[#This Row],[Account Balance]]&lt;20000,"Active", "Not Active")</f>
        <v>Not Active</v>
      </c>
      <c r="J383" s="5">
        <v>45867.94</v>
      </c>
      <c r="K383" s="5" t="str">
        <f t="shared" si="37"/>
        <v>Medium</v>
      </c>
      <c r="L383" s="6" t="s">
        <v>100</v>
      </c>
      <c r="M383">
        <v>28</v>
      </c>
      <c r="N383" s="6" t="str">
        <f t="shared" si="38"/>
        <v>Adults</v>
      </c>
      <c r="O383" s="6" t="s">
        <v>42</v>
      </c>
      <c r="P383" s="6" t="s">
        <v>36</v>
      </c>
      <c r="Q383" t="s">
        <v>1487</v>
      </c>
      <c r="R383" s="6" t="s">
        <v>28</v>
      </c>
      <c r="S383" s="6" t="s">
        <v>44</v>
      </c>
      <c r="T383" s="14">
        <v>2.58E-2</v>
      </c>
      <c r="U383">
        <v>2.58</v>
      </c>
      <c r="V383" t="str">
        <f>IF(fin_table[[#This Row],[Interest Rate(%)]]&gt;4,"high","low")</f>
        <v>low</v>
      </c>
      <c r="W383" s="5">
        <v>26681.654999999999</v>
      </c>
      <c r="X383" s="5">
        <f>fin_table[[#This Row],[Interest Rate]]*fin_table[[#This Row],[Loan Amount]]</f>
        <v>688.38669900000002</v>
      </c>
      <c r="Y383">
        <v>13</v>
      </c>
      <c r="Z383" s="3">
        <v>649</v>
      </c>
      <c r="AA383" s="3" t="str">
        <f t="shared" si="39"/>
        <v>Fair</v>
      </c>
      <c r="AB383" s="3" cm="1">
        <f t="array" ref="AB383">_xlfn.IFS(fin_table[[#This Row],[Transaction Status]]="Failed", 1, fin_table[[#This Row],[Transaction Status]]="Completed",0,fin_table[[#This Row],[Transaction Status]]="Pending",2)</f>
        <v>0</v>
      </c>
      <c r="AC383" s="3" t="str">
        <f>IF(fin_table[[#This Row],[Loan Defaulters]]=1,"Default", "Good")</f>
        <v>Good</v>
      </c>
      <c r="AD383" s="3">
        <f t="shared" si="40"/>
        <v>2</v>
      </c>
      <c r="AE383" s="4">
        <v>10017.26</v>
      </c>
      <c r="AF383" s="4" t="str">
        <f>IF(fin_table[[#This Row],[Monthly Income]]&lt;3000, "Low Income", IF(fin_table[[#This Row],[Monthly Income]]&lt;=5000, "Middle Income", "High Income"))</f>
        <v>High Income</v>
      </c>
      <c r="AG383" t="s">
        <v>45</v>
      </c>
      <c r="AH383" t="s">
        <v>3635</v>
      </c>
      <c r="AI383" t="str">
        <f t="shared" si="41"/>
        <v>Low-Risk</v>
      </c>
    </row>
    <row r="384" spans="1:35" x14ac:dyDescent="0.35">
      <c r="A384" t="s">
        <v>1488</v>
      </c>
      <c r="B384" t="s">
        <v>1489</v>
      </c>
      <c r="C384" t="s">
        <v>1490</v>
      </c>
      <c r="D384" s="1">
        <v>44924</v>
      </c>
      <c r="E384" s="1" t="str">
        <f t="shared" si="35"/>
        <v>29</v>
      </c>
      <c r="F384" s="1" t="str">
        <f t="shared" si="36"/>
        <v>Dec</v>
      </c>
      <c r="G384" s="6" t="s">
        <v>23</v>
      </c>
      <c r="H384" s="5">
        <v>5670.85</v>
      </c>
      <c r="I384" s="5" t="str">
        <f>IF(fin_table[[#This Row],[Account Balance]]&lt;20000,"Active", "Not Active")</f>
        <v>Not Active</v>
      </c>
      <c r="J384" s="5">
        <v>31199.41</v>
      </c>
      <c r="K384" s="5" t="str">
        <f t="shared" si="37"/>
        <v>Medium</v>
      </c>
      <c r="L384" s="6" t="s">
        <v>24</v>
      </c>
      <c r="M384">
        <v>61</v>
      </c>
      <c r="N384" s="6" t="str">
        <f t="shared" si="38"/>
        <v>Seniors</v>
      </c>
      <c r="O384" s="6" t="s">
        <v>42</v>
      </c>
      <c r="P384" s="6" t="s">
        <v>36</v>
      </c>
      <c r="Q384" t="s">
        <v>649</v>
      </c>
      <c r="R384" s="6" t="s">
        <v>38</v>
      </c>
      <c r="S384" s="6" t="s">
        <v>29</v>
      </c>
      <c r="T384" s="14">
        <v>2.06E-2</v>
      </c>
      <c r="U384">
        <v>2.06</v>
      </c>
      <c r="V384" t="str">
        <f>IF(fin_table[[#This Row],[Interest Rate(%)]]&gt;4,"high","low")</f>
        <v>low</v>
      </c>
      <c r="W384" s="5">
        <v>26681.654999999999</v>
      </c>
      <c r="X384" s="5">
        <f>fin_table[[#This Row],[Interest Rate]]*fin_table[[#This Row],[Loan Amount]]</f>
        <v>549.64209299999993</v>
      </c>
      <c r="Y384">
        <v>13</v>
      </c>
      <c r="Z384" s="3">
        <v>734</v>
      </c>
      <c r="AA384" s="3" t="str">
        <f t="shared" si="39"/>
        <v>Good</v>
      </c>
      <c r="AB384" s="3" cm="1">
        <f t="array" ref="AB384">_xlfn.IFS(fin_table[[#This Row],[Transaction Status]]="Failed", 1, fin_table[[#This Row],[Transaction Status]]="Completed",0,fin_table[[#This Row],[Transaction Status]]="Pending",2)</f>
        <v>1</v>
      </c>
      <c r="AC384" s="3" t="str">
        <f>IF(fin_table[[#This Row],[Loan Defaulters]]=1,"Default", "Good")</f>
        <v>Default</v>
      </c>
      <c r="AD384" s="3">
        <f t="shared" si="40"/>
        <v>3</v>
      </c>
      <c r="AE384" s="4">
        <v>3218.42</v>
      </c>
      <c r="AF384" s="4" t="str">
        <f>IF(fin_table[[#This Row],[Monthly Income]]&lt;3000, "Low Income", IF(fin_table[[#This Row],[Monthly Income]]&lt;=5000, "Middle Income", "High Income"))</f>
        <v>Middle Income</v>
      </c>
      <c r="AG384" t="s">
        <v>30</v>
      </c>
      <c r="AH384" t="s">
        <v>3635</v>
      </c>
      <c r="AI384" t="str">
        <f t="shared" si="41"/>
        <v>Low-Risk</v>
      </c>
    </row>
    <row r="385" spans="1:35" x14ac:dyDescent="0.35">
      <c r="A385" t="s">
        <v>1491</v>
      </c>
      <c r="B385" t="s">
        <v>1492</v>
      </c>
      <c r="C385" t="s">
        <v>1493</v>
      </c>
      <c r="D385" s="1">
        <v>45045</v>
      </c>
      <c r="E385" s="1" t="str">
        <f t="shared" si="35"/>
        <v>29</v>
      </c>
      <c r="F385" s="1" t="str">
        <f t="shared" si="36"/>
        <v>Apr</v>
      </c>
      <c r="G385" s="6" t="s">
        <v>71</v>
      </c>
      <c r="H385" s="5">
        <v>4468.1099999999997</v>
      </c>
      <c r="I385" s="5" t="str">
        <f>IF(fin_table[[#This Row],[Account Balance]]&lt;20000,"Active", "Not Active")</f>
        <v>Active</v>
      </c>
      <c r="J385" s="5">
        <v>13068.01</v>
      </c>
      <c r="K385" s="5" t="str">
        <f t="shared" si="37"/>
        <v>Medium</v>
      </c>
      <c r="L385" s="6" t="s">
        <v>24</v>
      </c>
      <c r="M385">
        <v>43</v>
      </c>
      <c r="N385" s="6" t="str">
        <f t="shared" si="38"/>
        <v>Middle-Aged</v>
      </c>
      <c r="O385" s="6" t="s">
        <v>25</v>
      </c>
      <c r="P385" s="6" t="s">
        <v>50</v>
      </c>
      <c r="Q385" t="s">
        <v>1494</v>
      </c>
      <c r="R385" s="6" t="s">
        <v>28</v>
      </c>
      <c r="S385" s="6" t="s">
        <v>44</v>
      </c>
      <c r="T385" s="14">
        <v>1.67E-2</v>
      </c>
      <c r="U385">
        <v>1.67</v>
      </c>
      <c r="V385" t="str">
        <f>IF(fin_table[[#This Row],[Interest Rate(%)]]&gt;4,"high","low")</f>
        <v>low</v>
      </c>
      <c r="W385" s="5">
        <v>25779.67</v>
      </c>
      <c r="X385" s="5">
        <f>fin_table[[#This Row],[Interest Rate]]*fin_table[[#This Row],[Loan Amount]]</f>
        <v>430.52048899999994</v>
      </c>
      <c r="Y385">
        <v>13</v>
      </c>
      <c r="Z385" s="3">
        <v>725</v>
      </c>
      <c r="AA385" s="3" t="str">
        <f t="shared" si="39"/>
        <v>Good</v>
      </c>
      <c r="AB385" s="3" cm="1">
        <f t="array" ref="AB385">_xlfn.IFS(fin_table[[#This Row],[Transaction Status]]="Failed", 1, fin_table[[#This Row],[Transaction Status]]="Completed",0,fin_table[[#This Row],[Transaction Status]]="Pending",2)</f>
        <v>0</v>
      </c>
      <c r="AC385" s="3" t="str">
        <f>IF(fin_table[[#This Row],[Loan Defaulters]]=1,"Default", "Good")</f>
        <v>Good</v>
      </c>
      <c r="AD385" s="3">
        <f t="shared" si="40"/>
        <v>3</v>
      </c>
      <c r="AE385" s="4">
        <v>12152.13</v>
      </c>
      <c r="AF385" s="4" t="str">
        <f>IF(fin_table[[#This Row],[Monthly Income]]&lt;3000, "Low Income", IF(fin_table[[#This Row],[Monthly Income]]&lt;=5000, "Middle Income", "High Income"))</f>
        <v>High Income</v>
      </c>
      <c r="AG385" t="s">
        <v>45</v>
      </c>
      <c r="AH385" t="s">
        <v>3636</v>
      </c>
      <c r="AI385" t="str">
        <f t="shared" si="41"/>
        <v>Low-Risk</v>
      </c>
    </row>
    <row r="386" spans="1:35" x14ac:dyDescent="0.35">
      <c r="A386" t="s">
        <v>1495</v>
      </c>
      <c r="B386" t="s">
        <v>1496</v>
      </c>
      <c r="C386" t="s">
        <v>1497</v>
      </c>
      <c r="D386" s="1">
        <v>45062</v>
      </c>
      <c r="E386" s="1" t="str">
        <f t="shared" ref="E386:E449" si="42">TEXT(D386, "DD")</f>
        <v>16</v>
      </c>
      <c r="F386" s="1" t="str">
        <f t="shared" ref="F386:F449" si="43">TEXT(D386, "MMM")</f>
        <v>May</v>
      </c>
      <c r="G386" s="6" t="s">
        <v>23</v>
      </c>
      <c r="H386" s="5">
        <v>6096.98</v>
      </c>
      <c r="I386" s="5" t="str">
        <f>IF(fin_table[[#This Row],[Account Balance]]&lt;20000,"Active", "Not Active")</f>
        <v>Not Active</v>
      </c>
      <c r="J386" s="5">
        <v>34843.31</v>
      </c>
      <c r="K386" s="5" t="str">
        <f t="shared" ref="K386:K449" si="44">IF(J386&lt;10000, "Low", IF(J386&lt;50000, "Medium", "High"))</f>
        <v>Medium</v>
      </c>
      <c r="L386" s="6" t="s">
        <v>100</v>
      </c>
      <c r="M386">
        <v>54</v>
      </c>
      <c r="N386" s="6" t="str">
        <f t="shared" ref="N386:N449" si="45">IF(M386&lt;18, "Teenagers", IF(M386&lt;=25, "Young Adults", IF(M386&lt;=35, "Adults", IF(M386&lt;=45, "Middle-Aged", IF(M386&lt;=60, "Older Adults", "Seniors")))))</f>
        <v>Older Adults</v>
      </c>
      <c r="O386" s="6" t="s">
        <v>42</v>
      </c>
      <c r="P386" s="6" t="s">
        <v>26</v>
      </c>
      <c r="Q386" t="s">
        <v>1498</v>
      </c>
      <c r="R386" s="6" t="s">
        <v>28</v>
      </c>
      <c r="S386" s="6" t="s">
        <v>62</v>
      </c>
      <c r="T386" s="14">
        <v>3.78E-2</v>
      </c>
      <c r="U386">
        <v>3.78</v>
      </c>
      <c r="V386" t="str">
        <f>IF(fin_table[[#This Row],[Interest Rate(%)]]&gt;4,"high","low")</f>
        <v>low</v>
      </c>
      <c r="W386" s="5">
        <v>45965.59</v>
      </c>
      <c r="X386" s="5">
        <f>fin_table[[#This Row],[Interest Rate]]*fin_table[[#This Row],[Loan Amount]]</f>
        <v>1737.4993019999999</v>
      </c>
      <c r="Y386">
        <v>6</v>
      </c>
      <c r="Z386" s="3">
        <v>579</v>
      </c>
      <c r="AA386" s="3" t="str">
        <f t="shared" ref="AA386:AA449" si="46">IF(Z386&lt;580, "Poor", IF(Z386&lt;670, "Fair", IF(Z386&lt;740, "Good", IF(Z386&lt;800, "Very Good", "Excellent"))))</f>
        <v>Poor</v>
      </c>
      <c r="AB386" s="3" cm="1">
        <f t="array" ref="AB386">_xlfn.IFS(fin_table[[#This Row],[Transaction Status]]="Failed", 1, fin_table[[#This Row],[Transaction Status]]="Completed",0,fin_table[[#This Row],[Transaction Status]]="Pending",2)</f>
        <v>2</v>
      </c>
      <c r="AC386" s="3" t="str">
        <f>IF(fin_table[[#This Row],[Loan Defaulters]]=1,"Default", "Good")</f>
        <v>Good</v>
      </c>
      <c r="AD386" s="3">
        <f t="shared" ref="AD386:AD449" si="47">IF(AA386="Poor", 1, IF(AA386="Fair", 2, IF(AA386="Good", 3, IF(AA386="Very Good", 4, IF(AA386="Excellent", 5, "")))))</f>
        <v>1</v>
      </c>
      <c r="AE386" s="4">
        <v>14889.6</v>
      </c>
      <c r="AF386" s="4" t="str">
        <f>IF(fin_table[[#This Row],[Monthly Income]]&lt;3000, "Low Income", IF(fin_table[[#This Row],[Monthly Income]]&lt;=5000, "Middle Income", "High Income"))</f>
        <v>High Income</v>
      </c>
      <c r="AG386" t="s">
        <v>45</v>
      </c>
      <c r="AH386" t="s">
        <v>3636</v>
      </c>
      <c r="AI386" t="str">
        <f t="shared" ref="AI386:AI449" si="48">IF(AND(W386&gt;33000, Z386&lt;600), "High-Risk", "Low-Risk")</f>
        <v>High-Risk</v>
      </c>
    </row>
    <row r="387" spans="1:35" x14ac:dyDescent="0.35">
      <c r="A387" t="s">
        <v>1499</v>
      </c>
      <c r="B387" t="s">
        <v>1500</v>
      </c>
      <c r="C387" t="s">
        <v>1501</v>
      </c>
      <c r="D387" s="1">
        <v>44676</v>
      </c>
      <c r="E387" s="1" t="str">
        <f t="shared" si="42"/>
        <v>25</v>
      </c>
      <c r="F387" s="1" t="str">
        <f t="shared" si="43"/>
        <v>Apr</v>
      </c>
      <c r="G387" s="6" t="s">
        <v>34</v>
      </c>
      <c r="H387" s="5">
        <v>9195.4699999999993</v>
      </c>
      <c r="I387" s="5" t="str">
        <f>IF(fin_table[[#This Row],[Account Balance]]&lt;20000,"Active", "Not Active")</f>
        <v>Not Active</v>
      </c>
      <c r="J387" s="5">
        <v>30242.04</v>
      </c>
      <c r="K387" s="5" t="str">
        <f t="shared" si="44"/>
        <v>Medium</v>
      </c>
      <c r="L387" s="6" t="s">
        <v>24</v>
      </c>
      <c r="M387">
        <v>40</v>
      </c>
      <c r="N387" s="6" t="str">
        <f t="shared" si="45"/>
        <v>Middle-Aged</v>
      </c>
      <c r="O387" s="6" t="s">
        <v>42</v>
      </c>
      <c r="P387" s="6" t="s">
        <v>26</v>
      </c>
      <c r="Q387" t="s">
        <v>713</v>
      </c>
      <c r="R387" s="6" t="s">
        <v>38</v>
      </c>
      <c r="S387" s="6" t="s">
        <v>62</v>
      </c>
      <c r="T387" s="14">
        <v>3.5799999999999998E-2</v>
      </c>
      <c r="U387">
        <v>3.58</v>
      </c>
      <c r="V387" t="str">
        <f>IF(fin_table[[#This Row],[Interest Rate(%)]]&gt;4,"high","low")</f>
        <v>low</v>
      </c>
      <c r="W387" s="5">
        <v>26681.654999999999</v>
      </c>
      <c r="X387" s="5">
        <f>fin_table[[#This Row],[Interest Rate]]*fin_table[[#This Row],[Loan Amount]]</f>
        <v>955.20324899999991</v>
      </c>
      <c r="Y387">
        <v>13</v>
      </c>
      <c r="Z387" s="3">
        <v>670</v>
      </c>
      <c r="AA387" s="3" t="str">
        <f t="shared" si="46"/>
        <v>Good</v>
      </c>
      <c r="AB387" s="3" cm="1">
        <f t="array" ref="AB387">_xlfn.IFS(fin_table[[#This Row],[Transaction Status]]="Failed", 1, fin_table[[#This Row],[Transaction Status]]="Completed",0,fin_table[[#This Row],[Transaction Status]]="Pending",2)</f>
        <v>2</v>
      </c>
      <c r="AC387" s="3" t="str">
        <f>IF(fin_table[[#This Row],[Loan Defaulters]]=1,"Default", "Good")</f>
        <v>Good</v>
      </c>
      <c r="AD387" s="3">
        <f t="shared" si="47"/>
        <v>3</v>
      </c>
      <c r="AE387" s="4">
        <v>8905.58</v>
      </c>
      <c r="AF387" s="4" t="str">
        <f>IF(fin_table[[#This Row],[Monthly Income]]&lt;3000, "Low Income", IF(fin_table[[#This Row],[Monthly Income]]&lt;=5000, "Middle Income", "High Income"))</f>
        <v>High Income</v>
      </c>
      <c r="AG387" t="s">
        <v>63</v>
      </c>
      <c r="AH387" t="s">
        <v>3635</v>
      </c>
      <c r="AI387" t="str">
        <f t="shared" si="48"/>
        <v>Low-Risk</v>
      </c>
    </row>
    <row r="388" spans="1:35" x14ac:dyDescent="0.35">
      <c r="A388" t="s">
        <v>1502</v>
      </c>
      <c r="B388" t="s">
        <v>1503</v>
      </c>
      <c r="C388" t="s">
        <v>1504</v>
      </c>
      <c r="D388" s="1">
        <v>44861</v>
      </c>
      <c r="E388" s="1" t="str">
        <f t="shared" si="42"/>
        <v>27</v>
      </c>
      <c r="F388" s="1" t="str">
        <f t="shared" si="43"/>
        <v>Oct</v>
      </c>
      <c r="G388" s="6" t="s">
        <v>56</v>
      </c>
      <c r="H388" s="5">
        <v>3686.45</v>
      </c>
      <c r="I388" s="5" t="str">
        <f>IF(fin_table[[#This Row],[Account Balance]]&lt;20000,"Active", "Not Active")</f>
        <v>Not Active</v>
      </c>
      <c r="J388" s="5">
        <v>25577.21</v>
      </c>
      <c r="K388" s="5" t="str">
        <f t="shared" si="44"/>
        <v>Medium</v>
      </c>
      <c r="L388" s="6" t="s">
        <v>100</v>
      </c>
      <c r="M388">
        <v>46</v>
      </c>
      <c r="N388" s="6" t="str">
        <f t="shared" si="45"/>
        <v>Older Adults</v>
      </c>
      <c r="O388" s="6" t="s">
        <v>42</v>
      </c>
      <c r="P388" s="6" t="s">
        <v>50</v>
      </c>
      <c r="Q388" t="s">
        <v>1505</v>
      </c>
      <c r="R388" s="6" t="s">
        <v>28</v>
      </c>
      <c r="S388" s="6" t="s">
        <v>29</v>
      </c>
      <c r="T388" s="14">
        <v>3.7499999999999999E-2</v>
      </c>
      <c r="U388">
        <v>3.75</v>
      </c>
      <c r="V388" t="str">
        <f>IF(fin_table[[#This Row],[Interest Rate(%)]]&gt;4,"high","low")</f>
        <v>low</v>
      </c>
      <c r="W388" s="5">
        <v>26681.654999999999</v>
      </c>
      <c r="X388" s="5">
        <f>fin_table[[#This Row],[Interest Rate]]*fin_table[[#This Row],[Loan Amount]]</f>
        <v>1000.5620624999999</v>
      </c>
      <c r="Y388">
        <v>13</v>
      </c>
      <c r="Z388" s="3">
        <v>548</v>
      </c>
      <c r="AA388" s="3" t="str">
        <f t="shared" si="46"/>
        <v>Poor</v>
      </c>
      <c r="AB388" s="3" cm="1">
        <f t="array" ref="AB388">_xlfn.IFS(fin_table[[#This Row],[Transaction Status]]="Failed", 1, fin_table[[#This Row],[Transaction Status]]="Completed",0,fin_table[[#This Row],[Transaction Status]]="Pending",2)</f>
        <v>1</v>
      </c>
      <c r="AC388" s="3" t="str">
        <f>IF(fin_table[[#This Row],[Loan Defaulters]]=1,"Default", "Good")</f>
        <v>Default</v>
      </c>
      <c r="AD388" s="3">
        <f t="shared" si="47"/>
        <v>1</v>
      </c>
      <c r="AE388" s="4">
        <v>10876.13</v>
      </c>
      <c r="AF388" s="4" t="str">
        <f>IF(fin_table[[#This Row],[Monthly Income]]&lt;3000, "Low Income", IF(fin_table[[#This Row],[Monthly Income]]&lt;=5000, "Middle Income", "High Income"))</f>
        <v>High Income</v>
      </c>
      <c r="AG388" t="s">
        <v>45</v>
      </c>
      <c r="AH388" t="s">
        <v>3635</v>
      </c>
      <c r="AI388" t="str">
        <f t="shared" si="48"/>
        <v>Low-Risk</v>
      </c>
    </row>
    <row r="389" spans="1:35" x14ac:dyDescent="0.35">
      <c r="A389" t="s">
        <v>1506</v>
      </c>
      <c r="B389" t="s">
        <v>1507</v>
      </c>
      <c r="C389" t="s">
        <v>1508</v>
      </c>
      <c r="D389" s="1">
        <v>44612</v>
      </c>
      <c r="E389" s="1" t="str">
        <f t="shared" si="42"/>
        <v>20</v>
      </c>
      <c r="F389" s="1" t="str">
        <f t="shared" si="43"/>
        <v>Feb</v>
      </c>
      <c r="G389" s="6" t="s">
        <v>34</v>
      </c>
      <c r="H389" s="5">
        <v>7284.59</v>
      </c>
      <c r="I389" s="5" t="str">
        <f>IF(fin_table[[#This Row],[Account Balance]]&lt;20000,"Active", "Not Active")</f>
        <v>Not Active</v>
      </c>
      <c r="J389" s="5">
        <v>48833.16</v>
      </c>
      <c r="K389" s="5" t="str">
        <f t="shared" si="44"/>
        <v>Medium</v>
      </c>
      <c r="L389" s="6" t="s">
        <v>49</v>
      </c>
      <c r="M389">
        <v>38</v>
      </c>
      <c r="N389" s="6" t="str">
        <f t="shared" si="45"/>
        <v>Middle-Aged</v>
      </c>
      <c r="O389" s="6" t="s">
        <v>25</v>
      </c>
      <c r="P389" s="6" t="s">
        <v>36</v>
      </c>
      <c r="Q389" t="s">
        <v>214</v>
      </c>
      <c r="R389" s="6" t="s">
        <v>52</v>
      </c>
      <c r="S389" s="6" t="s">
        <v>29</v>
      </c>
      <c r="T389" s="14">
        <v>2.4899999999999999E-2</v>
      </c>
      <c r="U389">
        <v>2.4900000000000002</v>
      </c>
      <c r="V389" t="str">
        <f>IF(fin_table[[#This Row],[Interest Rate(%)]]&gt;4,"high","low")</f>
        <v>low</v>
      </c>
      <c r="W389" s="5">
        <v>26681.654999999999</v>
      </c>
      <c r="X389" s="5">
        <f>fin_table[[#This Row],[Interest Rate]]*fin_table[[#This Row],[Loan Amount]]</f>
        <v>664.37320949999992</v>
      </c>
      <c r="Y389">
        <v>13</v>
      </c>
      <c r="Z389" s="3">
        <v>480</v>
      </c>
      <c r="AA389" s="3" t="str">
        <f t="shared" si="46"/>
        <v>Poor</v>
      </c>
      <c r="AB389" s="3" cm="1">
        <f t="array" ref="AB389">_xlfn.IFS(fin_table[[#This Row],[Transaction Status]]="Failed", 1, fin_table[[#This Row],[Transaction Status]]="Completed",0,fin_table[[#This Row],[Transaction Status]]="Pending",2)</f>
        <v>1</v>
      </c>
      <c r="AC389" s="3" t="str">
        <f>IF(fin_table[[#This Row],[Loan Defaulters]]=1,"Default", "Good")</f>
        <v>Default</v>
      </c>
      <c r="AD389" s="3">
        <f t="shared" si="47"/>
        <v>1</v>
      </c>
      <c r="AE389" s="4">
        <v>5085.08</v>
      </c>
      <c r="AF389" s="4" t="str">
        <f>IF(fin_table[[#This Row],[Monthly Income]]&lt;3000, "Low Income", IF(fin_table[[#This Row],[Monthly Income]]&lt;=5000, "Middle Income", "High Income"))</f>
        <v>High Income</v>
      </c>
      <c r="AG389" t="s">
        <v>63</v>
      </c>
      <c r="AH389" t="s">
        <v>3635</v>
      </c>
      <c r="AI389" t="str">
        <f t="shared" si="48"/>
        <v>Low-Risk</v>
      </c>
    </row>
    <row r="390" spans="1:35" x14ac:dyDescent="0.35">
      <c r="A390" t="s">
        <v>1509</v>
      </c>
      <c r="B390" t="s">
        <v>1510</v>
      </c>
      <c r="C390" t="s">
        <v>1511</v>
      </c>
      <c r="D390" s="1">
        <v>44720</v>
      </c>
      <c r="E390" s="1" t="str">
        <f t="shared" si="42"/>
        <v>08</v>
      </c>
      <c r="F390" s="1" t="str">
        <f t="shared" si="43"/>
        <v>Jun</v>
      </c>
      <c r="G390" s="6" t="s">
        <v>23</v>
      </c>
      <c r="H390" s="5">
        <v>8955.08</v>
      </c>
      <c r="I390" s="5" t="str">
        <f>IF(fin_table[[#This Row],[Account Balance]]&lt;20000,"Active", "Not Active")</f>
        <v>Not Active</v>
      </c>
      <c r="J390" s="5">
        <v>34489.24</v>
      </c>
      <c r="K390" s="5" t="str">
        <f t="shared" si="44"/>
        <v>Medium</v>
      </c>
      <c r="L390" s="6" t="s">
        <v>125</v>
      </c>
      <c r="M390">
        <v>65</v>
      </c>
      <c r="N390" s="6" t="str">
        <f t="shared" si="45"/>
        <v>Seniors</v>
      </c>
      <c r="O390" s="6" t="s">
        <v>42</v>
      </c>
      <c r="P390" s="6" t="s">
        <v>26</v>
      </c>
      <c r="Q390" t="s">
        <v>1512</v>
      </c>
      <c r="R390" s="6" t="s">
        <v>28</v>
      </c>
      <c r="S390" s="6" t="s">
        <v>29</v>
      </c>
      <c r="T390" s="14">
        <v>2.0500000000000001E-2</v>
      </c>
      <c r="U390">
        <v>2.0499999999999998</v>
      </c>
      <c r="V390" t="str">
        <f>IF(fin_table[[#This Row],[Interest Rate(%)]]&gt;4,"high","low")</f>
        <v>low</v>
      </c>
      <c r="W390" s="5">
        <v>38061.86</v>
      </c>
      <c r="X390" s="5">
        <f>fin_table[[#This Row],[Interest Rate]]*fin_table[[#This Row],[Loan Amount]]</f>
        <v>780.26813000000004</v>
      </c>
      <c r="Y390">
        <v>13</v>
      </c>
      <c r="Z390" s="3">
        <v>377</v>
      </c>
      <c r="AA390" s="3" t="str">
        <f t="shared" si="46"/>
        <v>Poor</v>
      </c>
      <c r="AB390" s="3" cm="1">
        <f t="array" ref="AB390">_xlfn.IFS(fin_table[[#This Row],[Transaction Status]]="Failed", 1, fin_table[[#This Row],[Transaction Status]]="Completed",0,fin_table[[#This Row],[Transaction Status]]="Pending",2)</f>
        <v>1</v>
      </c>
      <c r="AC390" s="3" t="str">
        <f>IF(fin_table[[#This Row],[Loan Defaulters]]=1,"Default", "Good")</f>
        <v>Default</v>
      </c>
      <c r="AD390" s="3">
        <f t="shared" si="47"/>
        <v>1</v>
      </c>
      <c r="AE390" s="4">
        <v>7688.77</v>
      </c>
      <c r="AF390" s="4" t="str">
        <f>IF(fin_table[[#This Row],[Monthly Income]]&lt;3000, "Low Income", IF(fin_table[[#This Row],[Monthly Income]]&lt;=5000, "Middle Income", "High Income"))</f>
        <v>High Income</v>
      </c>
      <c r="AG390" t="s">
        <v>30</v>
      </c>
      <c r="AH390" t="s">
        <v>3636</v>
      </c>
      <c r="AI390" t="str">
        <f t="shared" si="48"/>
        <v>High-Risk</v>
      </c>
    </row>
    <row r="391" spans="1:35" x14ac:dyDescent="0.35">
      <c r="A391" t="s">
        <v>1513</v>
      </c>
      <c r="B391" t="s">
        <v>1514</v>
      </c>
      <c r="C391" t="s">
        <v>1515</v>
      </c>
      <c r="D391" s="1">
        <v>44570</v>
      </c>
      <c r="E391" s="1" t="str">
        <f t="shared" si="42"/>
        <v>09</v>
      </c>
      <c r="F391" s="1" t="str">
        <f t="shared" si="43"/>
        <v>Jan</v>
      </c>
      <c r="G391" s="6" t="s">
        <v>56</v>
      </c>
      <c r="H391" s="5">
        <v>4614.1899999999996</v>
      </c>
      <c r="I391" s="5" t="str">
        <f>IF(fin_table[[#This Row],[Account Balance]]&lt;20000,"Active", "Not Active")</f>
        <v>Active</v>
      </c>
      <c r="J391" s="5">
        <v>19396.61</v>
      </c>
      <c r="K391" s="5" t="str">
        <f t="shared" si="44"/>
        <v>Medium</v>
      </c>
      <c r="L391" s="6" t="s">
        <v>49</v>
      </c>
      <c r="M391">
        <v>62</v>
      </c>
      <c r="N391" s="6" t="str">
        <f t="shared" si="45"/>
        <v>Seniors</v>
      </c>
      <c r="O391" s="6" t="s">
        <v>42</v>
      </c>
      <c r="P391" s="6" t="s">
        <v>36</v>
      </c>
      <c r="Q391" t="s">
        <v>1516</v>
      </c>
      <c r="R391" s="6" t="s">
        <v>52</v>
      </c>
      <c r="S391" s="6" t="s">
        <v>44</v>
      </c>
      <c r="T391" s="14">
        <v>4.0399999999999998E-2</v>
      </c>
      <c r="U391">
        <v>4.04</v>
      </c>
      <c r="V391" t="str">
        <f>IF(fin_table[[#This Row],[Interest Rate(%)]]&gt;4,"high","low")</f>
        <v>high</v>
      </c>
      <c r="W391" s="5">
        <v>26681.654999999999</v>
      </c>
      <c r="X391" s="5">
        <f>fin_table[[#This Row],[Interest Rate]]*fin_table[[#This Row],[Loan Amount]]</f>
        <v>1077.938862</v>
      </c>
      <c r="Y391">
        <v>24</v>
      </c>
      <c r="Z391" s="3">
        <v>635</v>
      </c>
      <c r="AA391" s="3" t="str">
        <f t="shared" si="46"/>
        <v>Fair</v>
      </c>
      <c r="AB391" s="3" cm="1">
        <f t="array" ref="AB391">_xlfn.IFS(fin_table[[#This Row],[Transaction Status]]="Failed", 1, fin_table[[#This Row],[Transaction Status]]="Completed",0,fin_table[[#This Row],[Transaction Status]]="Pending",2)</f>
        <v>0</v>
      </c>
      <c r="AC391" s="3" t="str">
        <f>IF(fin_table[[#This Row],[Loan Defaulters]]=1,"Default", "Good")</f>
        <v>Good</v>
      </c>
      <c r="AD391" s="3">
        <f t="shared" si="47"/>
        <v>2</v>
      </c>
      <c r="AE391" s="4">
        <v>13129.24</v>
      </c>
      <c r="AF391" s="4" t="str">
        <f>IF(fin_table[[#This Row],[Monthly Income]]&lt;3000, "Low Income", IF(fin_table[[#This Row],[Monthly Income]]&lt;=5000, "Middle Income", "High Income"))</f>
        <v>High Income</v>
      </c>
      <c r="AG391" t="s">
        <v>63</v>
      </c>
      <c r="AH391" t="s">
        <v>3635</v>
      </c>
      <c r="AI391" t="str">
        <f t="shared" si="48"/>
        <v>Low-Risk</v>
      </c>
    </row>
    <row r="392" spans="1:35" x14ac:dyDescent="0.35">
      <c r="A392" t="s">
        <v>1517</v>
      </c>
      <c r="B392" t="s">
        <v>1518</v>
      </c>
      <c r="C392" t="s">
        <v>1519</v>
      </c>
      <c r="D392" s="1">
        <v>45081</v>
      </c>
      <c r="E392" s="1" t="str">
        <f t="shared" si="42"/>
        <v>04</v>
      </c>
      <c r="F392" s="1" t="str">
        <f t="shared" si="43"/>
        <v>Jun</v>
      </c>
      <c r="G392" s="6" t="s">
        <v>23</v>
      </c>
      <c r="H392" s="5">
        <v>4490.21</v>
      </c>
      <c r="I392" s="5" t="str">
        <f>IF(fin_table[[#This Row],[Account Balance]]&lt;20000,"Active", "Not Active")</f>
        <v>Not Active</v>
      </c>
      <c r="J392" s="5">
        <v>40203.599999999999</v>
      </c>
      <c r="K392" s="5" t="str">
        <f t="shared" si="44"/>
        <v>Medium</v>
      </c>
      <c r="L392" s="6" t="s">
        <v>35</v>
      </c>
      <c r="M392">
        <v>62</v>
      </c>
      <c r="N392" s="6" t="str">
        <f t="shared" si="45"/>
        <v>Seniors</v>
      </c>
      <c r="O392" s="6" t="s">
        <v>42</v>
      </c>
      <c r="P392" s="6" t="s">
        <v>26</v>
      </c>
      <c r="Q392" t="s">
        <v>1520</v>
      </c>
      <c r="R392" s="6" t="s">
        <v>38</v>
      </c>
      <c r="S392" s="6" t="s">
        <v>62</v>
      </c>
      <c r="T392" s="14">
        <v>4.0899999999999999E-2</v>
      </c>
      <c r="U392">
        <v>4.09</v>
      </c>
      <c r="V392" t="str">
        <f>IF(fin_table[[#This Row],[Interest Rate(%)]]&gt;4,"high","low")</f>
        <v>high</v>
      </c>
      <c r="W392" s="5">
        <v>16355.03</v>
      </c>
      <c r="X392" s="5">
        <f>fin_table[[#This Row],[Interest Rate]]*fin_table[[#This Row],[Loan Amount]]</f>
        <v>668.92072700000006</v>
      </c>
      <c r="Y392">
        <v>13</v>
      </c>
      <c r="Z392" s="3">
        <v>349</v>
      </c>
      <c r="AA392" s="3" t="str">
        <f t="shared" si="46"/>
        <v>Poor</v>
      </c>
      <c r="AB392" s="3" cm="1">
        <f t="array" ref="AB392">_xlfn.IFS(fin_table[[#This Row],[Transaction Status]]="Failed", 1, fin_table[[#This Row],[Transaction Status]]="Completed",0,fin_table[[#This Row],[Transaction Status]]="Pending",2)</f>
        <v>2</v>
      </c>
      <c r="AC392" s="3" t="str">
        <f>IF(fin_table[[#This Row],[Loan Defaulters]]=1,"Default", "Good")</f>
        <v>Good</v>
      </c>
      <c r="AD392" s="3">
        <f t="shared" si="47"/>
        <v>1</v>
      </c>
      <c r="AE392" s="4">
        <v>4176.5</v>
      </c>
      <c r="AF392" s="4" t="str">
        <f>IF(fin_table[[#This Row],[Monthly Income]]&lt;3000, "Low Income", IF(fin_table[[#This Row],[Monthly Income]]&lt;=5000, "Middle Income", "High Income"))</f>
        <v>Middle Income</v>
      </c>
      <c r="AG392" t="s">
        <v>45</v>
      </c>
      <c r="AH392" t="s">
        <v>3636</v>
      </c>
      <c r="AI392" t="str">
        <f t="shared" si="48"/>
        <v>Low-Risk</v>
      </c>
    </row>
    <row r="393" spans="1:35" x14ac:dyDescent="0.35">
      <c r="A393" t="s">
        <v>1521</v>
      </c>
      <c r="B393" t="s">
        <v>1522</v>
      </c>
      <c r="C393" t="s">
        <v>1523</v>
      </c>
      <c r="D393" s="1">
        <v>44808</v>
      </c>
      <c r="E393" s="1" t="str">
        <f t="shared" si="42"/>
        <v>04</v>
      </c>
      <c r="F393" s="1" t="str">
        <f t="shared" si="43"/>
        <v>Sep</v>
      </c>
      <c r="G393" s="6" t="s">
        <v>56</v>
      </c>
      <c r="H393" s="5">
        <v>6060.96</v>
      </c>
      <c r="I393" s="5" t="str">
        <f>IF(fin_table[[#This Row],[Account Balance]]&lt;20000,"Active", "Not Active")</f>
        <v>Not Active</v>
      </c>
      <c r="J393" s="5">
        <v>44344.58</v>
      </c>
      <c r="K393" s="5" t="str">
        <f t="shared" si="44"/>
        <v>Medium</v>
      </c>
      <c r="L393" s="6" t="s">
        <v>35</v>
      </c>
      <c r="M393">
        <v>66</v>
      </c>
      <c r="N393" s="6" t="str">
        <f t="shared" si="45"/>
        <v>Seniors</v>
      </c>
      <c r="O393" s="6" t="s">
        <v>25</v>
      </c>
      <c r="P393" s="6" t="s">
        <v>26</v>
      </c>
      <c r="Q393" t="s">
        <v>1524</v>
      </c>
      <c r="R393" s="6" t="s">
        <v>38</v>
      </c>
      <c r="S393" s="6" t="s">
        <v>44</v>
      </c>
      <c r="T393" s="14">
        <v>2.8199999999999999E-2</v>
      </c>
      <c r="U393">
        <v>2.82</v>
      </c>
      <c r="V393" t="str">
        <f>IF(fin_table[[#This Row],[Interest Rate(%)]]&gt;4,"high","low")</f>
        <v>low</v>
      </c>
      <c r="W393" s="5">
        <v>23661.42</v>
      </c>
      <c r="X393" s="5">
        <f>fin_table[[#This Row],[Interest Rate]]*fin_table[[#This Row],[Loan Amount]]</f>
        <v>667.25204399999996</v>
      </c>
      <c r="Y393">
        <v>13</v>
      </c>
      <c r="Z393" s="3">
        <v>384</v>
      </c>
      <c r="AA393" s="3" t="str">
        <f t="shared" si="46"/>
        <v>Poor</v>
      </c>
      <c r="AB393" s="3" cm="1">
        <f t="array" ref="AB393">_xlfn.IFS(fin_table[[#This Row],[Transaction Status]]="Failed", 1, fin_table[[#This Row],[Transaction Status]]="Completed",0,fin_table[[#This Row],[Transaction Status]]="Pending",2)</f>
        <v>0</v>
      </c>
      <c r="AC393" s="3" t="str">
        <f>IF(fin_table[[#This Row],[Loan Defaulters]]=1,"Default", "Good")</f>
        <v>Good</v>
      </c>
      <c r="AD393" s="3">
        <f t="shared" si="47"/>
        <v>1</v>
      </c>
      <c r="AE393" s="4">
        <v>5451.96</v>
      </c>
      <c r="AF393" s="4" t="str">
        <f>IF(fin_table[[#This Row],[Monthly Income]]&lt;3000, "Low Income", IF(fin_table[[#This Row],[Monthly Income]]&lt;=5000, "Middle Income", "High Income"))</f>
        <v>High Income</v>
      </c>
      <c r="AG393" t="s">
        <v>30</v>
      </c>
      <c r="AH393" t="s">
        <v>3636</v>
      </c>
      <c r="AI393" t="str">
        <f t="shared" si="48"/>
        <v>Low-Risk</v>
      </c>
    </row>
    <row r="394" spans="1:35" x14ac:dyDescent="0.35">
      <c r="A394" t="s">
        <v>1525</v>
      </c>
      <c r="B394" t="s">
        <v>1526</v>
      </c>
      <c r="C394" t="s">
        <v>1527</v>
      </c>
      <c r="D394" s="1">
        <v>44569</v>
      </c>
      <c r="E394" s="1" t="str">
        <f t="shared" si="42"/>
        <v>08</v>
      </c>
      <c r="F394" s="1" t="str">
        <f t="shared" si="43"/>
        <v>Jan</v>
      </c>
      <c r="G394" s="6" t="s">
        <v>56</v>
      </c>
      <c r="H394" s="5">
        <v>5954.93</v>
      </c>
      <c r="I394" s="5" t="str">
        <f>IF(fin_table[[#This Row],[Account Balance]]&lt;20000,"Active", "Not Active")</f>
        <v>Active</v>
      </c>
      <c r="J394" s="5">
        <v>7135.81</v>
      </c>
      <c r="K394" s="5" t="str">
        <f t="shared" si="44"/>
        <v>Low</v>
      </c>
      <c r="L394" s="6" t="s">
        <v>35</v>
      </c>
      <c r="M394">
        <v>44</v>
      </c>
      <c r="N394" s="6" t="str">
        <f t="shared" si="45"/>
        <v>Middle-Aged</v>
      </c>
      <c r="O394" s="6" t="s">
        <v>42</v>
      </c>
      <c r="P394" s="6" t="s">
        <v>26</v>
      </c>
      <c r="Q394" t="s">
        <v>1528</v>
      </c>
      <c r="R394" s="6" t="s">
        <v>28</v>
      </c>
      <c r="S394" s="6" t="s">
        <v>44</v>
      </c>
      <c r="T394" s="14">
        <v>3.4500000000000003E-2</v>
      </c>
      <c r="U394">
        <v>3.45</v>
      </c>
      <c r="V394" t="str">
        <f>IF(fin_table[[#This Row],[Interest Rate(%)]]&gt;4,"high","low")</f>
        <v>low</v>
      </c>
      <c r="W394" s="5">
        <v>26681.654999999999</v>
      </c>
      <c r="X394" s="5">
        <f>fin_table[[#This Row],[Interest Rate]]*fin_table[[#This Row],[Loan Amount]]</f>
        <v>920.51709750000009</v>
      </c>
      <c r="Y394">
        <v>13</v>
      </c>
      <c r="Z394" s="3">
        <v>303</v>
      </c>
      <c r="AA394" s="3" t="str">
        <f t="shared" si="46"/>
        <v>Poor</v>
      </c>
      <c r="AB394" s="3" cm="1">
        <f t="array" ref="AB394">_xlfn.IFS(fin_table[[#This Row],[Transaction Status]]="Failed", 1, fin_table[[#This Row],[Transaction Status]]="Completed",0,fin_table[[#This Row],[Transaction Status]]="Pending",2)</f>
        <v>0</v>
      </c>
      <c r="AC394" s="3" t="str">
        <f>IF(fin_table[[#This Row],[Loan Defaulters]]=1,"Default", "Good")</f>
        <v>Good</v>
      </c>
      <c r="AD394" s="3">
        <f t="shared" si="47"/>
        <v>1</v>
      </c>
      <c r="AE394" s="4">
        <v>7790.64</v>
      </c>
      <c r="AF394" s="4" t="str">
        <f>IF(fin_table[[#This Row],[Monthly Income]]&lt;3000, "Low Income", IF(fin_table[[#This Row],[Monthly Income]]&lt;=5000, "Middle Income", "High Income"))</f>
        <v>High Income</v>
      </c>
      <c r="AG394" t="s">
        <v>45</v>
      </c>
      <c r="AH394" t="s">
        <v>3635</v>
      </c>
      <c r="AI394" t="str">
        <f t="shared" si="48"/>
        <v>Low-Risk</v>
      </c>
    </row>
    <row r="395" spans="1:35" x14ac:dyDescent="0.35">
      <c r="A395" t="s">
        <v>1529</v>
      </c>
      <c r="B395" t="s">
        <v>1530</v>
      </c>
      <c r="C395" t="s">
        <v>1531</v>
      </c>
      <c r="D395" s="1">
        <v>44973</v>
      </c>
      <c r="E395" s="1" t="str">
        <f t="shared" si="42"/>
        <v>16</v>
      </c>
      <c r="F395" s="1" t="str">
        <f t="shared" si="43"/>
        <v>Feb</v>
      </c>
      <c r="G395" s="6" t="s">
        <v>56</v>
      </c>
      <c r="H395" s="5">
        <v>8085.23</v>
      </c>
      <c r="I395" s="5" t="str">
        <f>IF(fin_table[[#This Row],[Account Balance]]&lt;20000,"Active", "Not Active")</f>
        <v>Active</v>
      </c>
      <c r="J395" s="5">
        <v>10827.1</v>
      </c>
      <c r="K395" s="5" t="str">
        <f t="shared" si="44"/>
        <v>Medium</v>
      </c>
      <c r="L395" s="6" t="s">
        <v>100</v>
      </c>
      <c r="M395">
        <v>56</v>
      </c>
      <c r="N395" s="6" t="str">
        <f t="shared" si="45"/>
        <v>Older Adults</v>
      </c>
      <c r="O395" s="6" t="s">
        <v>42</v>
      </c>
      <c r="P395" s="6" t="s">
        <v>26</v>
      </c>
      <c r="Q395" t="s">
        <v>1532</v>
      </c>
      <c r="R395" s="6" t="s">
        <v>52</v>
      </c>
      <c r="S395" s="6" t="s">
        <v>29</v>
      </c>
      <c r="T395" s="14">
        <v>2.4899999999999999E-2</v>
      </c>
      <c r="U395">
        <v>2.4900000000000002</v>
      </c>
      <c r="V395" t="str">
        <f>IF(fin_table[[#This Row],[Interest Rate(%)]]&gt;4,"high","low")</f>
        <v>low</v>
      </c>
      <c r="W395" s="5">
        <v>26681.654999999999</v>
      </c>
      <c r="X395" s="5">
        <f>fin_table[[#This Row],[Interest Rate]]*fin_table[[#This Row],[Loan Amount]]</f>
        <v>664.37320949999992</v>
      </c>
      <c r="Y395">
        <v>6</v>
      </c>
      <c r="Z395" s="3">
        <v>616</v>
      </c>
      <c r="AA395" s="3" t="str">
        <f t="shared" si="46"/>
        <v>Fair</v>
      </c>
      <c r="AB395" s="3" cm="1">
        <f t="array" ref="AB395">_xlfn.IFS(fin_table[[#This Row],[Transaction Status]]="Failed", 1, fin_table[[#This Row],[Transaction Status]]="Completed",0,fin_table[[#This Row],[Transaction Status]]="Pending",2)</f>
        <v>1</v>
      </c>
      <c r="AC395" s="3" t="str">
        <f>IF(fin_table[[#This Row],[Loan Defaulters]]=1,"Default", "Good")</f>
        <v>Default</v>
      </c>
      <c r="AD395" s="3">
        <f t="shared" si="47"/>
        <v>2</v>
      </c>
      <c r="AE395" s="4">
        <v>11259.24</v>
      </c>
      <c r="AF395" s="4" t="str">
        <f>IF(fin_table[[#This Row],[Monthly Income]]&lt;3000, "Low Income", IF(fin_table[[#This Row],[Monthly Income]]&lt;=5000, "Middle Income", "High Income"))</f>
        <v>High Income</v>
      </c>
      <c r="AG395" t="s">
        <v>45</v>
      </c>
      <c r="AH395" t="s">
        <v>3635</v>
      </c>
      <c r="AI395" t="str">
        <f t="shared" si="48"/>
        <v>Low-Risk</v>
      </c>
    </row>
    <row r="396" spans="1:35" x14ac:dyDescent="0.35">
      <c r="A396" t="s">
        <v>1533</v>
      </c>
      <c r="B396" t="s">
        <v>1534</v>
      </c>
      <c r="C396" t="s">
        <v>1535</v>
      </c>
      <c r="D396" s="1">
        <v>45004</v>
      </c>
      <c r="E396" s="1" t="str">
        <f t="shared" si="42"/>
        <v>19</v>
      </c>
      <c r="F396" s="1" t="str">
        <f t="shared" si="43"/>
        <v>Mar</v>
      </c>
      <c r="G396" s="6" t="s">
        <v>56</v>
      </c>
      <c r="H396" s="5">
        <v>4817.1899999999996</v>
      </c>
      <c r="I396" s="5" t="str">
        <f>IF(fin_table[[#This Row],[Account Balance]]&lt;20000,"Active", "Not Active")</f>
        <v>Active</v>
      </c>
      <c r="J396" s="5">
        <v>11595.12</v>
      </c>
      <c r="K396" s="5" t="str">
        <f t="shared" si="44"/>
        <v>Medium</v>
      </c>
      <c r="L396" s="6" t="s">
        <v>24</v>
      </c>
      <c r="M396">
        <v>57</v>
      </c>
      <c r="N396" s="6" t="str">
        <f t="shared" si="45"/>
        <v>Older Adults</v>
      </c>
      <c r="O396" s="6" t="s">
        <v>42</v>
      </c>
      <c r="P396" s="6" t="s">
        <v>36</v>
      </c>
      <c r="Q396" t="s">
        <v>1536</v>
      </c>
      <c r="R396" s="6" t="s">
        <v>28</v>
      </c>
      <c r="S396" s="6" t="s">
        <v>29</v>
      </c>
      <c r="T396" s="14">
        <v>3.8100000000000002E-2</v>
      </c>
      <c r="U396">
        <v>3.81</v>
      </c>
      <c r="V396" t="str">
        <f>IF(fin_table[[#This Row],[Interest Rate(%)]]&gt;4,"high","low")</f>
        <v>low</v>
      </c>
      <c r="W396" s="5">
        <v>9667.86</v>
      </c>
      <c r="X396" s="5">
        <f>fin_table[[#This Row],[Interest Rate]]*fin_table[[#This Row],[Loan Amount]]</f>
        <v>368.34546600000004</v>
      </c>
      <c r="Y396">
        <v>13</v>
      </c>
      <c r="Z396" s="3">
        <v>410</v>
      </c>
      <c r="AA396" s="3" t="str">
        <f t="shared" si="46"/>
        <v>Poor</v>
      </c>
      <c r="AB396" s="3" cm="1">
        <f t="array" ref="AB396">_xlfn.IFS(fin_table[[#This Row],[Transaction Status]]="Failed", 1, fin_table[[#This Row],[Transaction Status]]="Completed",0,fin_table[[#This Row],[Transaction Status]]="Pending",2)</f>
        <v>1</v>
      </c>
      <c r="AC396" s="3" t="str">
        <f>IF(fin_table[[#This Row],[Loan Defaulters]]=1,"Default", "Good")</f>
        <v>Default</v>
      </c>
      <c r="AD396" s="3">
        <f t="shared" si="47"/>
        <v>1</v>
      </c>
      <c r="AE396" s="4">
        <v>6886.49</v>
      </c>
      <c r="AF396" s="4" t="str">
        <f>IF(fin_table[[#This Row],[Monthly Income]]&lt;3000, "Low Income", IF(fin_table[[#This Row],[Monthly Income]]&lt;=5000, "Middle Income", "High Income"))</f>
        <v>High Income</v>
      </c>
      <c r="AG396" t="s">
        <v>63</v>
      </c>
      <c r="AH396" t="s">
        <v>3636</v>
      </c>
      <c r="AI396" t="str">
        <f t="shared" si="48"/>
        <v>Low-Risk</v>
      </c>
    </row>
    <row r="397" spans="1:35" x14ac:dyDescent="0.35">
      <c r="A397" t="s">
        <v>1537</v>
      </c>
      <c r="B397" t="s">
        <v>1538</v>
      </c>
      <c r="C397" t="s">
        <v>1539</v>
      </c>
      <c r="D397" s="1">
        <v>44690</v>
      </c>
      <c r="E397" s="1" t="str">
        <f t="shared" si="42"/>
        <v>09</v>
      </c>
      <c r="F397" s="1" t="str">
        <f t="shared" si="43"/>
        <v>May</v>
      </c>
      <c r="G397" s="6" t="s">
        <v>23</v>
      </c>
      <c r="H397" s="5">
        <v>9961.6200000000008</v>
      </c>
      <c r="I397" s="5" t="str">
        <f>IF(fin_table[[#This Row],[Account Balance]]&lt;20000,"Active", "Not Active")</f>
        <v>Not Active</v>
      </c>
      <c r="J397" s="5">
        <v>34869.379999999997</v>
      </c>
      <c r="K397" s="5" t="str">
        <f t="shared" si="44"/>
        <v>Medium</v>
      </c>
      <c r="L397" s="6" t="s">
        <v>49</v>
      </c>
      <c r="M397">
        <v>30</v>
      </c>
      <c r="N397" s="6" t="str">
        <f t="shared" si="45"/>
        <v>Adults</v>
      </c>
      <c r="O397" s="6" t="s">
        <v>25</v>
      </c>
      <c r="P397" s="6" t="s">
        <v>36</v>
      </c>
      <c r="Q397" t="s">
        <v>1540</v>
      </c>
      <c r="R397" s="6" t="s">
        <v>38</v>
      </c>
      <c r="S397" s="6" t="s">
        <v>44</v>
      </c>
      <c r="T397" s="14">
        <v>4.3400000000000001E-2</v>
      </c>
      <c r="U397">
        <v>4.34</v>
      </c>
      <c r="V397" t="str">
        <f>IF(fin_table[[#This Row],[Interest Rate(%)]]&gt;4,"high","low")</f>
        <v>high</v>
      </c>
      <c r="W397" s="5">
        <v>42615.93</v>
      </c>
      <c r="X397" s="5">
        <f>fin_table[[#This Row],[Interest Rate]]*fin_table[[#This Row],[Loan Amount]]</f>
        <v>1849.5313620000002</v>
      </c>
      <c r="Y397">
        <v>13</v>
      </c>
      <c r="Z397" s="3">
        <v>633</v>
      </c>
      <c r="AA397" s="3" t="str">
        <f t="shared" si="46"/>
        <v>Fair</v>
      </c>
      <c r="AB397" s="3" cm="1">
        <f t="array" ref="AB397">_xlfn.IFS(fin_table[[#This Row],[Transaction Status]]="Failed", 1, fin_table[[#This Row],[Transaction Status]]="Completed",0,fin_table[[#This Row],[Transaction Status]]="Pending",2)</f>
        <v>0</v>
      </c>
      <c r="AC397" s="3" t="str">
        <f>IF(fin_table[[#This Row],[Loan Defaulters]]=1,"Default", "Good")</f>
        <v>Good</v>
      </c>
      <c r="AD397" s="3">
        <f t="shared" si="47"/>
        <v>2</v>
      </c>
      <c r="AE397" s="4">
        <v>14060.52</v>
      </c>
      <c r="AF397" s="4" t="str">
        <f>IF(fin_table[[#This Row],[Monthly Income]]&lt;3000, "Low Income", IF(fin_table[[#This Row],[Monthly Income]]&lt;=5000, "Middle Income", "High Income"))</f>
        <v>High Income</v>
      </c>
      <c r="AG397" t="s">
        <v>45</v>
      </c>
      <c r="AH397" t="s">
        <v>3636</v>
      </c>
      <c r="AI397" t="str">
        <f t="shared" si="48"/>
        <v>Low-Risk</v>
      </c>
    </row>
    <row r="398" spans="1:35" x14ac:dyDescent="0.35">
      <c r="A398" t="s">
        <v>1541</v>
      </c>
      <c r="B398" t="s">
        <v>1542</v>
      </c>
      <c r="C398" t="s">
        <v>1543</v>
      </c>
      <c r="D398" s="1">
        <v>44950</v>
      </c>
      <c r="E398" s="1" t="str">
        <f t="shared" si="42"/>
        <v>24</v>
      </c>
      <c r="F398" s="1" t="str">
        <f t="shared" si="43"/>
        <v>Jan</v>
      </c>
      <c r="G398" s="6" t="s">
        <v>56</v>
      </c>
      <c r="H398" s="5">
        <v>688.77</v>
      </c>
      <c r="I398" s="5" t="str">
        <f>IF(fin_table[[#This Row],[Account Balance]]&lt;20000,"Active", "Not Active")</f>
        <v>Not Active</v>
      </c>
      <c r="J398" s="5">
        <v>30548.94</v>
      </c>
      <c r="K398" s="5" t="str">
        <f t="shared" si="44"/>
        <v>Medium</v>
      </c>
      <c r="L398" s="6" t="s">
        <v>49</v>
      </c>
      <c r="M398">
        <v>40</v>
      </c>
      <c r="N398" s="6" t="str">
        <f t="shared" si="45"/>
        <v>Middle-Aged</v>
      </c>
      <c r="O398" s="6" t="s">
        <v>25</v>
      </c>
      <c r="P398" s="6" t="s">
        <v>36</v>
      </c>
      <c r="Q398" t="s">
        <v>1544</v>
      </c>
      <c r="R398" s="6" t="s">
        <v>28</v>
      </c>
      <c r="S398" s="6" t="s">
        <v>44</v>
      </c>
      <c r="T398" s="14">
        <v>3.7499999999999999E-2</v>
      </c>
      <c r="U398">
        <v>3.75</v>
      </c>
      <c r="V398" t="str">
        <f>IF(fin_table[[#This Row],[Interest Rate(%)]]&gt;4,"high","low")</f>
        <v>low</v>
      </c>
      <c r="W398" s="5">
        <v>41654.92</v>
      </c>
      <c r="X398" s="5">
        <f>fin_table[[#This Row],[Interest Rate]]*fin_table[[#This Row],[Loan Amount]]</f>
        <v>1562.0594999999998</v>
      </c>
      <c r="Y398">
        <v>7</v>
      </c>
      <c r="Z398" s="3">
        <v>432</v>
      </c>
      <c r="AA398" s="3" t="str">
        <f t="shared" si="46"/>
        <v>Poor</v>
      </c>
      <c r="AB398" s="3" cm="1">
        <f t="array" ref="AB398">_xlfn.IFS(fin_table[[#This Row],[Transaction Status]]="Failed", 1, fin_table[[#This Row],[Transaction Status]]="Completed",0,fin_table[[#This Row],[Transaction Status]]="Pending",2)</f>
        <v>0</v>
      </c>
      <c r="AC398" s="3" t="str">
        <f>IF(fin_table[[#This Row],[Loan Defaulters]]=1,"Default", "Good")</f>
        <v>Good</v>
      </c>
      <c r="AD398" s="3">
        <f t="shared" si="47"/>
        <v>1</v>
      </c>
      <c r="AE398" s="4">
        <v>3227.94</v>
      </c>
      <c r="AF398" s="4" t="str">
        <f>IF(fin_table[[#This Row],[Monthly Income]]&lt;3000, "Low Income", IF(fin_table[[#This Row],[Monthly Income]]&lt;=5000, "Middle Income", "High Income"))</f>
        <v>Middle Income</v>
      </c>
      <c r="AG398" t="s">
        <v>63</v>
      </c>
      <c r="AH398" t="s">
        <v>3636</v>
      </c>
      <c r="AI398" t="str">
        <f t="shared" si="48"/>
        <v>High-Risk</v>
      </c>
    </row>
    <row r="399" spans="1:35" x14ac:dyDescent="0.35">
      <c r="A399" t="s">
        <v>1545</v>
      </c>
      <c r="B399" t="s">
        <v>1546</v>
      </c>
      <c r="C399" t="s">
        <v>1547</v>
      </c>
      <c r="D399" s="1">
        <v>44986</v>
      </c>
      <c r="E399" s="1" t="str">
        <f t="shared" si="42"/>
        <v>01</v>
      </c>
      <c r="F399" s="1" t="str">
        <f t="shared" si="43"/>
        <v>Mar</v>
      </c>
      <c r="G399" s="6" t="s">
        <v>56</v>
      </c>
      <c r="H399" s="5">
        <v>131.36000000000001</v>
      </c>
      <c r="I399" s="5" t="str">
        <f>IF(fin_table[[#This Row],[Account Balance]]&lt;20000,"Active", "Not Active")</f>
        <v>Not Active</v>
      </c>
      <c r="J399" s="5">
        <v>31330.59</v>
      </c>
      <c r="K399" s="5" t="str">
        <f t="shared" si="44"/>
        <v>Medium</v>
      </c>
      <c r="L399" s="6" t="s">
        <v>49</v>
      </c>
      <c r="M399">
        <v>33</v>
      </c>
      <c r="N399" s="6" t="str">
        <f t="shared" si="45"/>
        <v>Adults</v>
      </c>
      <c r="O399" s="6" t="s">
        <v>25</v>
      </c>
      <c r="P399" s="6" t="s">
        <v>36</v>
      </c>
      <c r="Q399" t="s">
        <v>570</v>
      </c>
      <c r="R399" s="6" t="s">
        <v>28</v>
      </c>
      <c r="S399" s="6" t="s">
        <v>29</v>
      </c>
      <c r="T399" s="14">
        <v>3.0499999999999999E-2</v>
      </c>
      <c r="U399">
        <v>3.05</v>
      </c>
      <c r="V399" t="str">
        <f>IF(fin_table[[#This Row],[Interest Rate(%)]]&gt;4,"high","low")</f>
        <v>low</v>
      </c>
      <c r="W399" s="5">
        <v>29012.23</v>
      </c>
      <c r="X399" s="5">
        <f>fin_table[[#This Row],[Interest Rate]]*fin_table[[#This Row],[Loan Amount]]</f>
        <v>884.87301500000001</v>
      </c>
      <c r="Y399">
        <v>13</v>
      </c>
      <c r="Z399" s="3">
        <v>418</v>
      </c>
      <c r="AA399" s="3" t="str">
        <f t="shared" si="46"/>
        <v>Poor</v>
      </c>
      <c r="AB399" s="3" cm="1">
        <f t="array" ref="AB399">_xlfn.IFS(fin_table[[#This Row],[Transaction Status]]="Failed", 1, fin_table[[#This Row],[Transaction Status]]="Completed",0,fin_table[[#This Row],[Transaction Status]]="Pending",2)</f>
        <v>1</v>
      </c>
      <c r="AC399" s="3" t="str">
        <f>IF(fin_table[[#This Row],[Loan Defaulters]]=1,"Default", "Good")</f>
        <v>Default</v>
      </c>
      <c r="AD399" s="3">
        <f t="shared" si="47"/>
        <v>1</v>
      </c>
      <c r="AE399" s="4">
        <v>6820.45</v>
      </c>
      <c r="AF399" s="4" t="str">
        <f>IF(fin_table[[#This Row],[Monthly Income]]&lt;3000, "Low Income", IF(fin_table[[#This Row],[Monthly Income]]&lt;=5000, "Middle Income", "High Income"))</f>
        <v>High Income</v>
      </c>
      <c r="AG399" t="s">
        <v>30</v>
      </c>
      <c r="AH399" t="s">
        <v>3636</v>
      </c>
      <c r="AI399" t="str">
        <f t="shared" si="48"/>
        <v>Low-Risk</v>
      </c>
    </row>
    <row r="400" spans="1:35" x14ac:dyDescent="0.35">
      <c r="A400" t="s">
        <v>1548</v>
      </c>
      <c r="B400" t="s">
        <v>1549</v>
      </c>
      <c r="C400" t="s">
        <v>1550</v>
      </c>
      <c r="D400" s="1">
        <v>45108</v>
      </c>
      <c r="E400" s="1" t="str">
        <f t="shared" si="42"/>
        <v>01</v>
      </c>
      <c r="F400" s="1" t="str">
        <f t="shared" si="43"/>
        <v>Jul</v>
      </c>
      <c r="G400" s="6" t="s">
        <v>34</v>
      </c>
      <c r="H400" s="5">
        <v>6437.96</v>
      </c>
      <c r="I400" s="5" t="str">
        <f>IF(fin_table[[#This Row],[Account Balance]]&lt;20000,"Active", "Not Active")</f>
        <v>Not Active</v>
      </c>
      <c r="J400" s="5">
        <v>47097.89</v>
      </c>
      <c r="K400" s="5" t="str">
        <f t="shared" si="44"/>
        <v>Medium</v>
      </c>
      <c r="L400" s="6" t="s">
        <v>49</v>
      </c>
      <c r="M400">
        <v>47</v>
      </c>
      <c r="N400" s="6" t="str">
        <f t="shared" si="45"/>
        <v>Older Adults</v>
      </c>
      <c r="O400" s="6" t="s">
        <v>25</v>
      </c>
      <c r="P400" s="6" t="s">
        <v>50</v>
      </c>
      <c r="Q400" t="s">
        <v>1551</v>
      </c>
      <c r="R400" s="6" t="s">
        <v>52</v>
      </c>
      <c r="S400" s="6" t="s">
        <v>29</v>
      </c>
      <c r="T400" s="14">
        <v>2.8299999999999999E-2</v>
      </c>
      <c r="U400">
        <v>2.83</v>
      </c>
      <c r="V400" t="str">
        <f>IF(fin_table[[#This Row],[Interest Rate(%)]]&gt;4,"high","low")</f>
        <v>low</v>
      </c>
      <c r="W400" s="5">
        <v>26681.654999999999</v>
      </c>
      <c r="X400" s="5">
        <f>fin_table[[#This Row],[Interest Rate]]*fin_table[[#This Row],[Loan Amount]]</f>
        <v>755.09083649999991</v>
      </c>
      <c r="Y400">
        <v>12</v>
      </c>
      <c r="Z400" s="3">
        <v>649</v>
      </c>
      <c r="AA400" s="3" t="str">
        <f t="shared" si="46"/>
        <v>Fair</v>
      </c>
      <c r="AB400" s="3" cm="1">
        <f t="array" ref="AB400">_xlfn.IFS(fin_table[[#This Row],[Transaction Status]]="Failed", 1, fin_table[[#This Row],[Transaction Status]]="Completed",0,fin_table[[#This Row],[Transaction Status]]="Pending",2)</f>
        <v>1</v>
      </c>
      <c r="AC400" s="3" t="str">
        <f>IF(fin_table[[#This Row],[Loan Defaulters]]=1,"Default", "Good")</f>
        <v>Default</v>
      </c>
      <c r="AD400" s="3">
        <f t="shared" si="47"/>
        <v>2</v>
      </c>
      <c r="AE400" s="4">
        <v>11216.4</v>
      </c>
      <c r="AF400" s="4" t="str">
        <f>IF(fin_table[[#This Row],[Monthly Income]]&lt;3000, "Low Income", IF(fin_table[[#This Row],[Monthly Income]]&lt;=5000, "Middle Income", "High Income"))</f>
        <v>High Income</v>
      </c>
      <c r="AG400" t="s">
        <v>30</v>
      </c>
      <c r="AH400" t="s">
        <v>3635</v>
      </c>
      <c r="AI400" t="str">
        <f t="shared" si="48"/>
        <v>Low-Risk</v>
      </c>
    </row>
    <row r="401" spans="1:35" x14ac:dyDescent="0.35">
      <c r="A401" t="s">
        <v>1552</v>
      </c>
      <c r="B401" t="s">
        <v>1553</v>
      </c>
      <c r="C401" t="s">
        <v>1554</v>
      </c>
      <c r="D401" s="1">
        <v>44890</v>
      </c>
      <c r="E401" s="1" t="str">
        <f t="shared" si="42"/>
        <v>25</v>
      </c>
      <c r="F401" s="1" t="str">
        <f t="shared" si="43"/>
        <v>Nov</v>
      </c>
      <c r="G401" s="6" t="s">
        <v>71</v>
      </c>
      <c r="H401" s="5">
        <v>3054.51</v>
      </c>
      <c r="I401" s="5" t="str">
        <f>IF(fin_table[[#This Row],[Account Balance]]&lt;20000,"Active", "Not Active")</f>
        <v>Not Active</v>
      </c>
      <c r="J401" s="5">
        <v>39019.67</v>
      </c>
      <c r="K401" s="5" t="str">
        <f t="shared" si="44"/>
        <v>Medium</v>
      </c>
      <c r="L401" s="6" t="s">
        <v>35</v>
      </c>
      <c r="M401">
        <v>21</v>
      </c>
      <c r="N401" s="6" t="str">
        <f t="shared" si="45"/>
        <v>Young Adults</v>
      </c>
      <c r="O401" s="6" t="s">
        <v>42</v>
      </c>
      <c r="P401" s="6" t="s">
        <v>26</v>
      </c>
      <c r="Q401" t="s">
        <v>1555</v>
      </c>
      <c r="R401" s="6" t="s">
        <v>38</v>
      </c>
      <c r="S401" s="6" t="s">
        <v>44</v>
      </c>
      <c r="T401" s="14">
        <v>3.5700000000000003E-2</v>
      </c>
      <c r="U401">
        <v>3.57</v>
      </c>
      <c r="V401" t="str">
        <f>IF(fin_table[[#This Row],[Interest Rate(%)]]&gt;4,"high","low")</f>
        <v>low</v>
      </c>
      <c r="W401" s="5">
        <v>6151.05</v>
      </c>
      <c r="X401" s="5">
        <f>fin_table[[#This Row],[Interest Rate]]*fin_table[[#This Row],[Loan Amount]]</f>
        <v>219.59248500000001</v>
      </c>
      <c r="Y401">
        <v>16</v>
      </c>
      <c r="Z401" s="3">
        <v>841</v>
      </c>
      <c r="AA401" s="3" t="str">
        <f t="shared" si="46"/>
        <v>Excellent</v>
      </c>
      <c r="AB401" s="3" cm="1">
        <f t="array" ref="AB401">_xlfn.IFS(fin_table[[#This Row],[Transaction Status]]="Failed", 1, fin_table[[#This Row],[Transaction Status]]="Completed",0,fin_table[[#This Row],[Transaction Status]]="Pending",2)</f>
        <v>0</v>
      </c>
      <c r="AC401" s="3" t="str">
        <f>IF(fin_table[[#This Row],[Loan Defaulters]]=1,"Default", "Good")</f>
        <v>Good</v>
      </c>
      <c r="AD401" s="3">
        <f t="shared" si="47"/>
        <v>5</v>
      </c>
      <c r="AE401" s="4">
        <v>4937.83</v>
      </c>
      <c r="AF401" s="4" t="str">
        <f>IF(fin_table[[#This Row],[Monthly Income]]&lt;3000, "Low Income", IF(fin_table[[#This Row],[Monthly Income]]&lt;=5000, "Middle Income", "High Income"))</f>
        <v>Middle Income</v>
      </c>
      <c r="AG401" t="s">
        <v>45</v>
      </c>
      <c r="AH401" t="s">
        <v>3636</v>
      </c>
      <c r="AI401" t="str">
        <f t="shared" si="48"/>
        <v>Low-Risk</v>
      </c>
    </row>
    <row r="402" spans="1:35" x14ac:dyDescent="0.35">
      <c r="A402" t="s">
        <v>1556</v>
      </c>
      <c r="B402" t="s">
        <v>1557</v>
      </c>
      <c r="C402" t="s">
        <v>1558</v>
      </c>
      <c r="D402" s="1">
        <v>44649</v>
      </c>
      <c r="E402" s="1" t="str">
        <f t="shared" si="42"/>
        <v>29</v>
      </c>
      <c r="F402" s="1" t="str">
        <f t="shared" si="43"/>
        <v>Mar</v>
      </c>
      <c r="G402" s="6" t="s">
        <v>71</v>
      </c>
      <c r="H402" s="5">
        <v>2479.79</v>
      </c>
      <c r="I402" s="5" t="str">
        <f>IF(fin_table[[#This Row],[Account Balance]]&lt;20000,"Active", "Not Active")</f>
        <v>Active</v>
      </c>
      <c r="J402" s="5">
        <v>7268.91</v>
      </c>
      <c r="K402" s="5" t="str">
        <f t="shared" si="44"/>
        <v>Low</v>
      </c>
      <c r="L402" s="6" t="s">
        <v>49</v>
      </c>
      <c r="M402">
        <v>57</v>
      </c>
      <c r="N402" s="6" t="str">
        <f t="shared" si="45"/>
        <v>Older Adults</v>
      </c>
      <c r="O402" s="6" t="s">
        <v>42</v>
      </c>
      <c r="P402" s="6" t="s">
        <v>26</v>
      </c>
      <c r="Q402" t="s">
        <v>1559</v>
      </c>
      <c r="R402" s="6" t="s">
        <v>28</v>
      </c>
      <c r="S402" s="6" t="s">
        <v>29</v>
      </c>
      <c r="T402" s="14">
        <v>3.7199999999999997E-2</v>
      </c>
      <c r="U402">
        <v>3.72</v>
      </c>
      <c r="V402" t="str">
        <f>IF(fin_table[[#This Row],[Interest Rate(%)]]&gt;4,"high","low")</f>
        <v>low</v>
      </c>
      <c r="W402" s="5">
        <v>26681.654999999999</v>
      </c>
      <c r="X402" s="5">
        <f>fin_table[[#This Row],[Interest Rate]]*fin_table[[#This Row],[Loan Amount]]</f>
        <v>992.55756599999984</v>
      </c>
      <c r="Y402">
        <v>13</v>
      </c>
      <c r="Z402" s="3">
        <v>354</v>
      </c>
      <c r="AA402" s="3" t="str">
        <f t="shared" si="46"/>
        <v>Poor</v>
      </c>
      <c r="AB402" s="3" cm="1">
        <f t="array" ref="AB402">_xlfn.IFS(fin_table[[#This Row],[Transaction Status]]="Failed", 1, fin_table[[#This Row],[Transaction Status]]="Completed",0,fin_table[[#This Row],[Transaction Status]]="Pending",2)</f>
        <v>1</v>
      </c>
      <c r="AC402" s="3" t="str">
        <f>IF(fin_table[[#This Row],[Loan Defaulters]]=1,"Default", "Good")</f>
        <v>Default</v>
      </c>
      <c r="AD402" s="3">
        <f t="shared" si="47"/>
        <v>1</v>
      </c>
      <c r="AE402" s="4">
        <v>10533.37</v>
      </c>
      <c r="AF402" s="4" t="str">
        <f>IF(fin_table[[#This Row],[Monthly Income]]&lt;3000, "Low Income", IF(fin_table[[#This Row],[Monthly Income]]&lt;=5000, "Middle Income", "High Income"))</f>
        <v>High Income</v>
      </c>
      <c r="AG402" t="s">
        <v>63</v>
      </c>
      <c r="AH402" t="s">
        <v>3635</v>
      </c>
      <c r="AI402" t="str">
        <f t="shared" si="48"/>
        <v>Low-Risk</v>
      </c>
    </row>
    <row r="403" spans="1:35" x14ac:dyDescent="0.35">
      <c r="A403" t="s">
        <v>1560</v>
      </c>
      <c r="B403" t="s">
        <v>1561</v>
      </c>
      <c r="C403" t="s">
        <v>1562</v>
      </c>
      <c r="D403" s="1">
        <v>44800</v>
      </c>
      <c r="E403" s="1" t="str">
        <f t="shared" si="42"/>
        <v>27</v>
      </c>
      <c r="F403" s="1" t="str">
        <f t="shared" si="43"/>
        <v>Aug</v>
      </c>
      <c r="G403" s="6" t="s">
        <v>34</v>
      </c>
      <c r="H403" s="5">
        <v>3187.8</v>
      </c>
      <c r="I403" s="5" t="str">
        <f>IF(fin_table[[#This Row],[Account Balance]]&lt;20000,"Active", "Not Active")</f>
        <v>Active</v>
      </c>
      <c r="J403" s="5">
        <v>18027.849999999999</v>
      </c>
      <c r="K403" s="5" t="str">
        <f t="shared" si="44"/>
        <v>Medium</v>
      </c>
      <c r="L403" s="6" t="s">
        <v>24</v>
      </c>
      <c r="M403">
        <v>33</v>
      </c>
      <c r="N403" s="6" t="str">
        <f t="shared" si="45"/>
        <v>Adults</v>
      </c>
      <c r="O403" s="6" t="s">
        <v>25</v>
      </c>
      <c r="P403" s="6" t="s">
        <v>26</v>
      </c>
      <c r="Q403" t="s">
        <v>1330</v>
      </c>
      <c r="R403" s="6" t="s">
        <v>52</v>
      </c>
      <c r="S403" s="6" t="s">
        <v>29</v>
      </c>
      <c r="T403" s="14">
        <v>3.2300000000000002E-2</v>
      </c>
      <c r="U403">
        <v>3.23</v>
      </c>
      <c r="V403" t="str">
        <f>IF(fin_table[[#This Row],[Interest Rate(%)]]&gt;4,"high","low")</f>
        <v>low</v>
      </c>
      <c r="W403" s="5">
        <v>26681.654999999999</v>
      </c>
      <c r="X403" s="5">
        <f>fin_table[[#This Row],[Interest Rate]]*fin_table[[#This Row],[Loan Amount]]</f>
        <v>861.81745650000005</v>
      </c>
      <c r="Y403">
        <v>13</v>
      </c>
      <c r="Z403" s="3">
        <v>660</v>
      </c>
      <c r="AA403" s="3" t="str">
        <f t="shared" si="46"/>
        <v>Fair</v>
      </c>
      <c r="AB403" s="3" cm="1">
        <f t="array" ref="AB403">_xlfn.IFS(fin_table[[#This Row],[Transaction Status]]="Failed", 1, fin_table[[#This Row],[Transaction Status]]="Completed",0,fin_table[[#This Row],[Transaction Status]]="Pending",2)</f>
        <v>1</v>
      </c>
      <c r="AC403" s="3" t="str">
        <f>IF(fin_table[[#This Row],[Loan Defaulters]]=1,"Default", "Good")</f>
        <v>Default</v>
      </c>
      <c r="AD403" s="3">
        <f t="shared" si="47"/>
        <v>2</v>
      </c>
      <c r="AE403" s="4">
        <v>4134.82</v>
      </c>
      <c r="AF403" s="4" t="str">
        <f>IF(fin_table[[#This Row],[Monthly Income]]&lt;3000, "Low Income", IF(fin_table[[#This Row],[Monthly Income]]&lt;=5000, "Middle Income", "High Income"))</f>
        <v>Middle Income</v>
      </c>
      <c r="AG403" t="s">
        <v>45</v>
      </c>
      <c r="AH403" t="s">
        <v>3635</v>
      </c>
      <c r="AI403" t="str">
        <f t="shared" si="48"/>
        <v>Low-Risk</v>
      </c>
    </row>
    <row r="404" spans="1:35" x14ac:dyDescent="0.35">
      <c r="A404" t="s">
        <v>1563</v>
      </c>
      <c r="B404" t="s">
        <v>1564</v>
      </c>
      <c r="C404" t="s">
        <v>1565</v>
      </c>
      <c r="D404" s="1">
        <v>45100</v>
      </c>
      <c r="E404" s="1" t="str">
        <f t="shared" si="42"/>
        <v>23</v>
      </c>
      <c r="F404" s="1" t="str">
        <f t="shared" si="43"/>
        <v>Jun</v>
      </c>
      <c r="G404" s="6" t="s">
        <v>34</v>
      </c>
      <c r="H404" s="5">
        <v>2634.87</v>
      </c>
      <c r="I404" s="5" t="str">
        <f>IF(fin_table[[#This Row],[Account Balance]]&lt;20000,"Active", "Not Active")</f>
        <v>Not Active</v>
      </c>
      <c r="J404" s="5">
        <v>22334.29</v>
      </c>
      <c r="K404" s="5" t="str">
        <f t="shared" si="44"/>
        <v>Medium</v>
      </c>
      <c r="L404" s="6" t="s">
        <v>35</v>
      </c>
      <c r="M404">
        <v>48</v>
      </c>
      <c r="N404" s="6" t="str">
        <f t="shared" si="45"/>
        <v>Older Adults</v>
      </c>
      <c r="O404" s="6" t="s">
        <v>25</v>
      </c>
      <c r="P404" s="6" t="s">
        <v>50</v>
      </c>
      <c r="Q404" t="s">
        <v>1048</v>
      </c>
      <c r="R404" s="6" t="s">
        <v>28</v>
      </c>
      <c r="S404" s="6" t="s">
        <v>44</v>
      </c>
      <c r="T404" s="14">
        <v>3.5000000000000003E-2</v>
      </c>
      <c r="U404">
        <v>3.5000000000000003E-2</v>
      </c>
      <c r="V404" t="str">
        <f>IF(fin_table[[#This Row],[Interest Rate(%)]]&gt;4,"high","low")</f>
        <v>low</v>
      </c>
      <c r="W404" s="5">
        <v>26681.654999999999</v>
      </c>
      <c r="X404" s="5">
        <f>fin_table[[#This Row],[Interest Rate]]*fin_table[[#This Row],[Loan Amount]]</f>
        <v>933.85792500000002</v>
      </c>
      <c r="Y404">
        <v>23</v>
      </c>
      <c r="Z404" s="3">
        <v>752</v>
      </c>
      <c r="AA404" s="3" t="str">
        <f t="shared" si="46"/>
        <v>Very Good</v>
      </c>
      <c r="AB404" s="3" cm="1">
        <f t="array" ref="AB404">_xlfn.IFS(fin_table[[#This Row],[Transaction Status]]="Failed", 1, fin_table[[#This Row],[Transaction Status]]="Completed",0,fin_table[[#This Row],[Transaction Status]]="Pending",2)</f>
        <v>0</v>
      </c>
      <c r="AC404" s="3" t="str">
        <f>IF(fin_table[[#This Row],[Loan Defaulters]]=1,"Default", "Good")</f>
        <v>Good</v>
      </c>
      <c r="AD404" s="3">
        <f t="shared" si="47"/>
        <v>4</v>
      </c>
      <c r="AE404" s="4">
        <v>2727.74</v>
      </c>
      <c r="AF404" s="4" t="str">
        <f>IF(fin_table[[#This Row],[Monthly Income]]&lt;3000, "Low Income", IF(fin_table[[#This Row],[Monthly Income]]&lt;=5000, "Middle Income", "High Income"))</f>
        <v>Low Income</v>
      </c>
      <c r="AG404" t="s">
        <v>45</v>
      </c>
      <c r="AH404" t="s">
        <v>3635</v>
      </c>
      <c r="AI404" t="str">
        <f t="shared" si="48"/>
        <v>Low-Risk</v>
      </c>
    </row>
    <row r="405" spans="1:35" x14ac:dyDescent="0.35">
      <c r="A405" t="s">
        <v>1566</v>
      </c>
      <c r="B405" t="s">
        <v>1567</v>
      </c>
      <c r="C405" t="s">
        <v>1568</v>
      </c>
      <c r="D405" s="1">
        <v>44709</v>
      </c>
      <c r="E405" s="1" t="str">
        <f t="shared" si="42"/>
        <v>28</v>
      </c>
      <c r="F405" s="1" t="str">
        <f t="shared" si="43"/>
        <v>May</v>
      </c>
      <c r="G405" s="6" t="s">
        <v>23</v>
      </c>
      <c r="H405" s="5">
        <v>404.82</v>
      </c>
      <c r="I405" s="5" t="str">
        <f>IF(fin_table[[#This Row],[Account Balance]]&lt;20000,"Active", "Not Active")</f>
        <v>Not Active</v>
      </c>
      <c r="J405" s="5">
        <v>20402.12</v>
      </c>
      <c r="K405" s="5" t="str">
        <f t="shared" si="44"/>
        <v>Medium</v>
      </c>
      <c r="L405" s="6" t="s">
        <v>49</v>
      </c>
      <c r="M405">
        <v>59</v>
      </c>
      <c r="N405" s="6" t="str">
        <f t="shared" si="45"/>
        <v>Older Adults</v>
      </c>
      <c r="O405" s="6" t="s">
        <v>42</v>
      </c>
      <c r="P405" s="6" t="s">
        <v>36</v>
      </c>
      <c r="Q405" t="s">
        <v>1569</v>
      </c>
      <c r="R405" s="6" t="s">
        <v>52</v>
      </c>
      <c r="S405" s="6" t="s">
        <v>44</v>
      </c>
      <c r="T405" s="14">
        <v>1.3899999999999999E-2</v>
      </c>
      <c r="U405">
        <v>1.39</v>
      </c>
      <c r="V405" t="str">
        <f>IF(fin_table[[#This Row],[Interest Rate(%)]]&gt;4,"high","low")</f>
        <v>low</v>
      </c>
      <c r="W405" s="5">
        <v>18671.32</v>
      </c>
      <c r="X405" s="5">
        <f>fin_table[[#This Row],[Interest Rate]]*fin_table[[#This Row],[Loan Amount]]</f>
        <v>259.53134799999998</v>
      </c>
      <c r="Y405">
        <v>2</v>
      </c>
      <c r="Z405" s="3">
        <v>629</v>
      </c>
      <c r="AA405" s="3" t="str">
        <f t="shared" si="46"/>
        <v>Fair</v>
      </c>
      <c r="AB405" s="3" cm="1">
        <f t="array" ref="AB405">_xlfn.IFS(fin_table[[#This Row],[Transaction Status]]="Failed", 1, fin_table[[#This Row],[Transaction Status]]="Completed",0,fin_table[[#This Row],[Transaction Status]]="Pending",2)</f>
        <v>0</v>
      </c>
      <c r="AC405" s="3" t="str">
        <f>IF(fin_table[[#This Row],[Loan Defaulters]]=1,"Default", "Good")</f>
        <v>Good</v>
      </c>
      <c r="AD405" s="3">
        <f t="shared" si="47"/>
        <v>2</v>
      </c>
      <c r="AE405" s="4">
        <v>3573.2</v>
      </c>
      <c r="AF405" s="4" t="str">
        <f>IF(fin_table[[#This Row],[Monthly Income]]&lt;3000, "Low Income", IF(fin_table[[#This Row],[Monthly Income]]&lt;=5000, "Middle Income", "High Income"))</f>
        <v>Middle Income</v>
      </c>
      <c r="AG405" t="s">
        <v>45</v>
      </c>
      <c r="AH405" t="s">
        <v>3636</v>
      </c>
      <c r="AI405" t="str">
        <f t="shared" si="48"/>
        <v>Low-Risk</v>
      </c>
    </row>
    <row r="406" spans="1:35" x14ac:dyDescent="0.35">
      <c r="A406" t="s">
        <v>1570</v>
      </c>
      <c r="B406" t="s">
        <v>1571</v>
      </c>
      <c r="C406" t="s">
        <v>1572</v>
      </c>
      <c r="D406" s="1">
        <v>44767</v>
      </c>
      <c r="E406" s="1" t="str">
        <f t="shared" si="42"/>
        <v>25</v>
      </c>
      <c r="F406" s="1" t="str">
        <f t="shared" si="43"/>
        <v>Jul</v>
      </c>
      <c r="G406" s="6" t="s">
        <v>23</v>
      </c>
      <c r="H406" s="5">
        <v>9718.18</v>
      </c>
      <c r="I406" s="5" t="str">
        <f>IF(fin_table[[#This Row],[Account Balance]]&lt;20000,"Active", "Not Active")</f>
        <v>Not Active</v>
      </c>
      <c r="J406" s="5">
        <v>33796.120000000003</v>
      </c>
      <c r="K406" s="5" t="str">
        <f t="shared" si="44"/>
        <v>Medium</v>
      </c>
      <c r="L406" s="6" t="s">
        <v>100</v>
      </c>
      <c r="M406">
        <v>42</v>
      </c>
      <c r="N406" s="6" t="str">
        <f t="shared" si="45"/>
        <v>Middle-Aged</v>
      </c>
      <c r="O406" s="6" t="s">
        <v>42</v>
      </c>
      <c r="P406" s="6" t="s">
        <v>26</v>
      </c>
      <c r="Q406" t="s">
        <v>130</v>
      </c>
      <c r="R406" s="6" t="s">
        <v>52</v>
      </c>
      <c r="S406" s="6" t="s">
        <v>62</v>
      </c>
      <c r="T406" s="14">
        <v>4.8099999999999997E-2</v>
      </c>
      <c r="U406">
        <v>4.8099999999999996</v>
      </c>
      <c r="V406" t="str">
        <f>IF(fin_table[[#This Row],[Interest Rate(%)]]&gt;4,"high","low")</f>
        <v>high</v>
      </c>
      <c r="W406" s="5">
        <v>27926.720000000001</v>
      </c>
      <c r="X406" s="5">
        <f>fin_table[[#This Row],[Interest Rate]]*fin_table[[#This Row],[Loan Amount]]</f>
        <v>1343.275232</v>
      </c>
      <c r="Y406">
        <v>13</v>
      </c>
      <c r="Z406" s="3">
        <v>518</v>
      </c>
      <c r="AA406" s="3" t="str">
        <f t="shared" si="46"/>
        <v>Poor</v>
      </c>
      <c r="AB406" s="3" cm="1">
        <f t="array" ref="AB406">_xlfn.IFS(fin_table[[#This Row],[Transaction Status]]="Failed", 1, fin_table[[#This Row],[Transaction Status]]="Completed",0,fin_table[[#This Row],[Transaction Status]]="Pending",2)</f>
        <v>2</v>
      </c>
      <c r="AC406" s="3" t="str">
        <f>IF(fin_table[[#This Row],[Loan Defaulters]]=1,"Default", "Good")</f>
        <v>Good</v>
      </c>
      <c r="AD406" s="3">
        <f t="shared" si="47"/>
        <v>1</v>
      </c>
      <c r="AE406" s="4">
        <v>14089.8</v>
      </c>
      <c r="AF406" s="4" t="str">
        <f>IF(fin_table[[#This Row],[Monthly Income]]&lt;3000, "Low Income", IF(fin_table[[#This Row],[Monthly Income]]&lt;=5000, "Middle Income", "High Income"))</f>
        <v>High Income</v>
      </c>
      <c r="AG406" t="s">
        <v>45</v>
      </c>
      <c r="AH406" t="s">
        <v>3636</v>
      </c>
      <c r="AI406" t="str">
        <f t="shared" si="48"/>
        <v>Low-Risk</v>
      </c>
    </row>
    <row r="407" spans="1:35" x14ac:dyDescent="0.35">
      <c r="A407" t="s">
        <v>1573</v>
      </c>
      <c r="B407" t="s">
        <v>1574</v>
      </c>
      <c r="C407" t="s">
        <v>1575</v>
      </c>
      <c r="D407" s="1">
        <v>45145</v>
      </c>
      <c r="E407" s="1" t="str">
        <f t="shared" si="42"/>
        <v>07</v>
      </c>
      <c r="F407" s="1" t="str">
        <f t="shared" si="43"/>
        <v>Aug</v>
      </c>
      <c r="G407" s="6" t="s">
        <v>23</v>
      </c>
      <c r="H407" s="5">
        <v>2285.38</v>
      </c>
      <c r="I407" s="5" t="str">
        <f>IF(fin_table[[#This Row],[Account Balance]]&lt;20000,"Active", "Not Active")</f>
        <v>Not Active</v>
      </c>
      <c r="J407" s="5">
        <v>44702.76</v>
      </c>
      <c r="K407" s="5" t="str">
        <f t="shared" si="44"/>
        <v>Medium</v>
      </c>
      <c r="L407" s="6" t="s">
        <v>125</v>
      </c>
      <c r="M407">
        <v>61</v>
      </c>
      <c r="N407" s="6" t="str">
        <f t="shared" si="45"/>
        <v>Seniors</v>
      </c>
      <c r="O407" s="6" t="s">
        <v>25</v>
      </c>
      <c r="P407" s="6" t="s">
        <v>36</v>
      </c>
      <c r="Q407" t="s">
        <v>1576</v>
      </c>
      <c r="R407" s="6" t="s">
        <v>28</v>
      </c>
      <c r="S407" s="6" t="s">
        <v>44</v>
      </c>
      <c r="T407" s="14">
        <v>4.1599999999999998E-2</v>
      </c>
      <c r="U407">
        <v>4.16</v>
      </c>
      <c r="V407" t="str">
        <f>IF(fin_table[[#This Row],[Interest Rate(%)]]&gt;4,"high","low")</f>
        <v>high</v>
      </c>
      <c r="W407" s="5">
        <v>26681.654999999999</v>
      </c>
      <c r="X407" s="5">
        <f>fin_table[[#This Row],[Interest Rate]]*fin_table[[#This Row],[Loan Amount]]</f>
        <v>1109.9568479999998</v>
      </c>
      <c r="Y407">
        <v>8</v>
      </c>
      <c r="Z407" s="3">
        <v>507</v>
      </c>
      <c r="AA407" s="3" t="str">
        <f t="shared" si="46"/>
        <v>Poor</v>
      </c>
      <c r="AB407" s="3" cm="1">
        <f t="array" ref="AB407">_xlfn.IFS(fin_table[[#This Row],[Transaction Status]]="Failed", 1, fin_table[[#This Row],[Transaction Status]]="Completed",0,fin_table[[#This Row],[Transaction Status]]="Pending",2)</f>
        <v>0</v>
      </c>
      <c r="AC407" s="3" t="str">
        <f>IF(fin_table[[#This Row],[Loan Defaulters]]=1,"Default", "Good")</f>
        <v>Good</v>
      </c>
      <c r="AD407" s="3">
        <f t="shared" si="47"/>
        <v>1</v>
      </c>
      <c r="AE407" s="4">
        <v>9172.76</v>
      </c>
      <c r="AF407" s="4" t="str">
        <f>IF(fin_table[[#This Row],[Monthly Income]]&lt;3000, "Low Income", IF(fin_table[[#This Row],[Monthly Income]]&lt;=5000, "Middle Income", "High Income"))</f>
        <v>High Income</v>
      </c>
      <c r="AG407" t="s">
        <v>63</v>
      </c>
      <c r="AH407" t="s">
        <v>3635</v>
      </c>
      <c r="AI407" t="str">
        <f t="shared" si="48"/>
        <v>Low-Risk</v>
      </c>
    </row>
    <row r="408" spans="1:35" x14ac:dyDescent="0.35">
      <c r="A408" t="s">
        <v>1577</v>
      </c>
      <c r="B408" t="s">
        <v>1578</v>
      </c>
      <c r="C408" t="s">
        <v>1579</v>
      </c>
      <c r="D408" s="1">
        <v>44667</v>
      </c>
      <c r="E408" s="1" t="str">
        <f t="shared" si="42"/>
        <v>16</v>
      </c>
      <c r="F408" s="1" t="str">
        <f t="shared" si="43"/>
        <v>Apr</v>
      </c>
      <c r="G408" s="6" t="s">
        <v>34</v>
      </c>
      <c r="H408" s="5">
        <v>7366.89</v>
      </c>
      <c r="I408" s="5" t="str">
        <f>IF(fin_table[[#This Row],[Account Balance]]&lt;20000,"Active", "Not Active")</f>
        <v>Active</v>
      </c>
      <c r="J408" s="5">
        <v>15996.52</v>
      </c>
      <c r="K408" s="5" t="str">
        <f t="shared" si="44"/>
        <v>Medium</v>
      </c>
      <c r="L408" s="6" t="s">
        <v>125</v>
      </c>
      <c r="M408">
        <v>29</v>
      </c>
      <c r="N408" s="6" t="str">
        <f t="shared" si="45"/>
        <v>Adults</v>
      </c>
      <c r="O408" s="6" t="s">
        <v>25</v>
      </c>
      <c r="P408" s="6" t="s">
        <v>36</v>
      </c>
      <c r="Q408" t="s">
        <v>1528</v>
      </c>
      <c r="R408" s="6" t="s">
        <v>38</v>
      </c>
      <c r="S408" s="6" t="s">
        <v>29</v>
      </c>
      <c r="T408" s="14">
        <v>2.5000000000000001E-2</v>
      </c>
      <c r="U408">
        <v>2.5000000000000001E-2</v>
      </c>
      <c r="V408" t="str">
        <f>IF(fin_table[[#This Row],[Interest Rate(%)]]&gt;4,"high","low")</f>
        <v>low</v>
      </c>
      <c r="W408" s="5">
        <v>26681.654999999999</v>
      </c>
      <c r="X408" s="5">
        <f>fin_table[[#This Row],[Interest Rate]]*fin_table[[#This Row],[Loan Amount]]</f>
        <v>667.04137500000002</v>
      </c>
      <c r="Y408">
        <v>25</v>
      </c>
      <c r="Z408" s="3">
        <v>384</v>
      </c>
      <c r="AA408" s="3" t="str">
        <f t="shared" si="46"/>
        <v>Poor</v>
      </c>
      <c r="AB408" s="3" cm="1">
        <f t="array" ref="AB408">_xlfn.IFS(fin_table[[#This Row],[Transaction Status]]="Failed", 1, fin_table[[#This Row],[Transaction Status]]="Completed",0,fin_table[[#This Row],[Transaction Status]]="Pending",2)</f>
        <v>1</v>
      </c>
      <c r="AC408" s="3" t="str">
        <f>IF(fin_table[[#This Row],[Loan Defaulters]]=1,"Default", "Good")</f>
        <v>Default</v>
      </c>
      <c r="AD408" s="3">
        <f t="shared" si="47"/>
        <v>1</v>
      </c>
      <c r="AE408" s="4">
        <v>12352.5</v>
      </c>
      <c r="AF408" s="4" t="str">
        <f>IF(fin_table[[#This Row],[Monthly Income]]&lt;3000, "Low Income", IF(fin_table[[#This Row],[Monthly Income]]&lt;=5000, "Middle Income", "High Income"))</f>
        <v>High Income</v>
      </c>
      <c r="AG408" t="s">
        <v>45</v>
      </c>
      <c r="AH408" t="s">
        <v>3635</v>
      </c>
      <c r="AI408" t="str">
        <f t="shared" si="48"/>
        <v>Low-Risk</v>
      </c>
    </row>
    <row r="409" spans="1:35" x14ac:dyDescent="0.35">
      <c r="A409" t="s">
        <v>1580</v>
      </c>
      <c r="B409" t="s">
        <v>1581</v>
      </c>
      <c r="C409" t="s">
        <v>1582</v>
      </c>
      <c r="D409" s="1">
        <v>44600</v>
      </c>
      <c r="E409" s="1" t="str">
        <f t="shared" si="42"/>
        <v>08</v>
      </c>
      <c r="F409" s="1" t="str">
        <f t="shared" si="43"/>
        <v>Feb</v>
      </c>
      <c r="G409" s="6" t="s">
        <v>34</v>
      </c>
      <c r="H409" s="5">
        <v>7649.7</v>
      </c>
      <c r="I409" s="5" t="str">
        <f>IF(fin_table[[#This Row],[Account Balance]]&lt;20000,"Active", "Not Active")</f>
        <v>Not Active</v>
      </c>
      <c r="J409" s="5">
        <v>28041.98</v>
      </c>
      <c r="K409" s="5" t="str">
        <f t="shared" si="44"/>
        <v>Medium</v>
      </c>
      <c r="L409" s="6" t="s">
        <v>125</v>
      </c>
      <c r="M409">
        <v>43</v>
      </c>
      <c r="N409" s="6" t="str">
        <f t="shared" si="45"/>
        <v>Middle-Aged</v>
      </c>
      <c r="O409" s="6" t="s">
        <v>25</v>
      </c>
      <c r="P409" s="6" t="s">
        <v>50</v>
      </c>
      <c r="Q409" t="s">
        <v>1528</v>
      </c>
      <c r="R409" s="6" t="s">
        <v>38</v>
      </c>
      <c r="S409" s="6" t="s">
        <v>44</v>
      </c>
      <c r="T409" s="14">
        <v>3.2500000000000001E-2</v>
      </c>
      <c r="U409">
        <v>3.25</v>
      </c>
      <c r="V409" t="str">
        <f>IF(fin_table[[#This Row],[Interest Rate(%)]]&gt;4,"high","low")</f>
        <v>low</v>
      </c>
      <c r="W409" s="5">
        <v>26681.654999999999</v>
      </c>
      <c r="X409" s="5">
        <f>fin_table[[#This Row],[Interest Rate]]*fin_table[[#This Row],[Loan Amount]]</f>
        <v>867.15378750000002</v>
      </c>
      <c r="Y409">
        <v>13</v>
      </c>
      <c r="Z409" s="3">
        <v>544</v>
      </c>
      <c r="AA409" s="3" t="str">
        <f t="shared" si="46"/>
        <v>Poor</v>
      </c>
      <c r="AB409" s="3" cm="1">
        <f t="array" ref="AB409">_xlfn.IFS(fin_table[[#This Row],[Transaction Status]]="Failed", 1, fin_table[[#This Row],[Transaction Status]]="Completed",0,fin_table[[#This Row],[Transaction Status]]="Pending",2)</f>
        <v>0</v>
      </c>
      <c r="AC409" s="3" t="str">
        <f>IF(fin_table[[#This Row],[Loan Defaulters]]=1,"Default", "Good")</f>
        <v>Good</v>
      </c>
      <c r="AD409" s="3">
        <f t="shared" si="47"/>
        <v>1</v>
      </c>
      <c r="AE409" s="4">
        <v>6324.51</v>
      </c>
      <c r="AF409" s="4" t="str">
        <f>IF(fin_table[[#This Row],[Monthly Income]]&lt;3000, "Low Income", IF(fin_table[[#This Row],[Monthly Income]]&lt;=5000, "Middle Income", "High Income"))</f>
        <v>High Income</v>
      </c>
      <c r="AG409" t="s">
        <v>30</v>
      </c>
      <c r="AH409" t="s">
        <v>3635</v>
      </c>
      <c r="AI409" t="str">
        <f t="shared" si="48"/>
        <v>Low-Risk</v>
      </c>
    </row>
    <row r="410" spans="1:35" x14ac:dyDescent="0.35">
      <c r="A410" t="s">
        <v>1583</v>
      </c>
      <c r="B410" t="s">
        <v>1584</v>
      </c>
      <c r="C410" t="s">
        <v>1585</v>
      </c>
      <c r="D410" s="1">
        <v>44567</v>
      </c>
      <c r="E410" s="1" t="str">
        <f t="shared" si="42"/>
        <v>06</v>
      </c>
      <c r="F410" s="1" t="str">
        <f t="shared" si="43"/>
        <v>Jan</v>
      </c>
      <c r="G410" s="6" t="s">
        <v>56</v>
      </c>
      <c r="H410" s="5">
        <v>9299.65</v>
      </c>
      <c r="I410" s="5" t="str">
        <f>IF(fin_table[[#This Row],[Account Balance]]&lt;20000,"Active", "Not Active")</f>
        <v>Not Active</v>
      </c>
      <c r="J410" s="5">
        <v>39681.06</v>
      </c>
      <c r="K410" s="5" t="str">
        <f t="shared" si="44"/>
        <v>Medium</v>
      </c>
      <c r="L410" s="6" t="s">
        <v>35</v>
      </c>
      <c r="M410">
        <v>54</v>
      </c>
      <c r="N410" s="6" t="str">
        <f t="shared" si="45"/>
        <v>Older Adults</v>
      </c>
      <c r="O410" s="6" t="s">
        <v>25</v>
      </c>
      <c r="P410" s="6" t="s">
        <v>50</v>
      </c>
      <c r="Q410" t="s">
        <v>469</v>
      </c>
      <c r="R410" s="6" t="s">
        <v>52</v>
      </c>
      <c r="S410" s="6" t="s">
        <v>44</v>
      </c>
      <c r="T410" s="14">
        <v>1.1900000000000001E-2</v>
      </c>
      <c r="U410">
        <v>1.19</v>
      </c>
      <c r="V410" t="str">
        <f>IF(fin_table[[#This Row],[Interest Rate(%)]]&gt;4,"high","low")</f>
        <v>low</v>
      </c>
      <c r="W410" s="5">
        <v>26681.654999999999</v>
      </c>
      <c r="X410" s="5">
        <f>fin_table[[#This Row],[Interest Rate]]*fin_table[[#This Row],[Loan Amount]]</f>
        <v>317.51169450000003</v>
      </c>
      <c r="Y410">
        <v>20</v>
      </c>
      <c r="Z410" s="3">
        <v>634</v>
      </c>
      <c r="AA410" s="3" t="str">
        <f t="shared" si="46"/>
        <v>Fair</v>
      </c>
      <c r="AB410" s="3" cm="1">
        <f t="array" ref="AB410">_xlfn.IFS(fin_table[[#This Row],[Transaction Status]]="Failed", 1, fin_table[[#This Row],[Transaction Status]]="Completed",0,fin_table[[#This Row],[Transaction Status]]="Pending",2)</f>
        <v>0</v>
      </c>
      <c r="AC410" s="3" t="str">
        <f>IF(fin_table[[#This Row],[Loan Defaulters]]=1,"Default", "Good")</f>
        <v>Good</v>
      </c>
      <c r="AD410" s="3">
        <f t="shared" si="47"/>
        <v>2</v>
      </c>
      <c r="AE410" s="4">
        <v>9704.56</v>
      </c>
      <c r="AF410" s="4" t="str">
        <f>IF(fin_table[[#This Row],[Monthly Income]]&lt;3000, "Low Income", IF(fin_table[[#This Row],[Monthly Income]]&lt;=5000, "Middle Income", "High Income"))</f>
        <v>High Income</v>
      </c>
      <c r="AG410" t="s">
        <v>63</v>
      </c>
      <c r="AH410" t="s">
        <v>3635</v>
      </c>
      <c r="AI410" t="str">
        <f t="shared" si="48"/>
        <v>Low-Risk</v>
      </c>
    </row>
    <row r="411" spans="1:35" x14ac:dyDescent="0.35">
      <c r="A411" t="s">
        <v>1586</v>
      </c>
      <c r="B411" t="s">
        <v>1587</v>
      </c>
      <c r="C411" t="s">
        <v>1588</v>
      </c>
      <c r="D411" s="1">
        <v>44641</v>
      </c>
      <c r="E411" s="1" t="str">
        <f t="shared" si="42"/>
        <v>21</v>
      </c>
      <c r="F411" s="1" t="str">
        <f t="shared" si="43"/>
        <v>Mar</v>
      </c>
      <c r="G411" s="6" t="s">
        <v>23</v>
      </c>
      <c r="H411" s="5">
        <v>402.44</v>
      </c>
      <c r="I411" s="5" t="str">
        <f>IF(fin_table[[#This Row],[Account Balance]]&lt;20000,"Active", "Not Active")</f>
        <v>Not Active</v>
      </c>
      <c r="J411" s="5">
        <v>21394.68</v>
      </c>
      <c r="K411" s="5" t="str">
        <f t="shared" si="44"/>
        <v>Medium</v>
      </c>
      <c r="L411" s="6" t="s">
        <v>49</v>
      </c>
      <c r="M411">
        <v>65</v>
      </c>
      <c r="N411" s="6" t="str">
        <f t="shared" si="45"/>
        <v>Seniors</v>
      </c>
      <c r="O411" s="6" t="s">
        <v>42</v>
      </c>
      <c r="P411" s="6" t="s">
        <v>36</v>
      </c>
      <c r="Q411" t="s">
        <v>316</v>
      </c>
      <c r="R411" s="6" t="s">
        <v>38</v>
      </c>
      <c r="S411" s="6" t="s">
        <v>44</v>
      </c>
      <c r="T411" s="14">
        <v>1.1599999999999999E-2</v>
      </c>
      <c r="U411">
        <v>1.1599999999999999</v>
      </c>
      <c r="V411" t="str">
        <f>IF(fin_table[[#This Row],[Interest Rate(%)]]&gt;4,"high","low")</f>
        <v>low</v>
      </c>
      <c r="W411" s="5">
        <v>14684.93</v>
      </c>
      <c r="X411" s="5">
        <f>fin_table[[#This Row],[Interest Rate]]*fin_table[[#This Row],[Loan Amount]]</f>
        <v>170.34518799999998</v>
      </c>
      <c r="Y411">
        <v>16</v>
      </c>
      <c r="Z411" s="3">
        <v>511</v>
      </c>
      <c r="AA411" s="3" t="str">
        <f t="shared" si="46"/>
        <v>Poor</v>
      </c>
      <c r="AB411" s="3" cm="1">
        <f t="array" ref="AB411">_xlfn.IFS(fin_table[[#This Row],[Transaction Status]]="Failed", 1, fin_table[[#This Row],[Transaction Status]]="Completed",0,fin_table[[#This Row],[Transaction Status]]="Pending",2)</f>
        <v>0</v>
      </c>
      <c r="AC411" s="3" t="str">
        <f>IF(fin_table[[#This Row],[Loan Defaulters]]=1,"Default", "Good")</f>
        <v>Good</v>
      </c>
      <c r="AD411" s="3">
        <f t="shared" si="47"/>
        <v>1</v>
      </c>
      <c r="AE411" s="4">
        <v>8434.3799999999992</v>
      </c>
      <c r="AF411" s="4" t="str">
        <f>IF(fin_table[[#This Row],[Monthly Income]]&lt;3000, "Low Income", IF(fin_table[[#This Row],[Monthly Income]]&lt;=5000, "Middle Income", "High Income"))</f>
        <v>High Income</v>
      </c>
      <c r="AG411" t="s">
        <v>45</v>
      </c>
      <c r="AH411" t="s">
        <v>3636</v>
      </c>
      <c r="AI411" t="str">
        <f t="shared" si="48"/>
        <v>Low-Risk</v>
      </c>
    </row>
    <row r="412" spans="1:35" x14ac:dyDescent="0.35">
      <c r="A412" t="s">
        <v>1589</v>
      </c>
      <c r="B412" t="s">
        <v>1590</v>
      </c>
      <c r="C412" t="s">
        <v>1591</v>
      </c>
      <c r="D412" s="1">
        <v>44932</v>
      </c>
      <c r="E412" s="1" t="str">
        <f t="shared" si="42"/>
        <v>06</v>
      </c>
      <c r="F412" s="1" t="str">
        <f t="shared" si="43"/>
        <v>Jan</v>
      </c>
      <c r="G412" s="6" t="s">
        <v>23</v>
      </c>
      <c r="H412" s="5">
        <v>8733.2800000000007</v>
      </c>
      <c r="I412" s="5" t="str">
        <f>IF(fin_table[[#This Row],[Account Balance]]&lt;20000,"Active", "Not Active")</f>
        <v>Active</v>
      </c>
      <c r="J412" s="5">
        <v>9237.7900000000009</v>
      </c>
      <c r="K412" s="5" t="str">
        <f t="shared" si="44"/>
        <v>Low</v>
      </c>
      <c r="L412" s="6" t="s">
        <v>35</v>
      </c>
      <c r="M412">
        <v>50</v>
      </c>
      <c r="N412" s="6" t="str">
        <f t="shared" si="45"/>
        <v>Older Adults</v>
      </c>
      <c r="O412" s="6" t="s">
        <v>25</v>
      </c>
      <c r="P412" s="6" t="s">
        <v>26</v>
      </c>
      <c r="Q412" t="s">
        <v>1592</v>
      </c>
      <c r="R412" s="6" t="s">
        <v>52</v>
      </c>
      <c r="S412" s="6" t="s">
        <v>62</v>
      </c>
      <c r="T412" s="47">
        <v>0.02</v>
      </c>
      <c r="U412">
        <v>0.02</v>
      </c>
      <c r="V412" t="str">
        <f>IF(fin_table[[#This Row],[Interest Rate(%)]]&gt;4,"high","low")</f>
        <v>low</v>
      </c>
      <c r="W412" s="5">
        <v>26681.654999999999</v>
      </c>
      <c r="X412" s="5">
        <f>fin_table[[#This Row],[Interest Rate]]*fin_table[[#This Row],[Loan Amount]]</f>
        <v>533.63310000000001</v>
      </c>
      <c r="Y412">
        <v>4</v>
      </c>
      <c r="Z412" s="3">
        <v>482</v>
      </c>
      <c r="AA412" s="3" t="str">
        <f t="shared" si="46"/>
        <v>Poor</v>
      </c>
      <c r="AB412" s="3" cm="1">
        <f t="array" ref="AB412">_xlfn.IFS(fin_table[[#This Row],[Transaction Status]]="Failed", 1, fin_table[[#This Row],[Transaction Status]]="Completed",0,fin_table[[#This Row],[Transaction Status]]="Pending",2)</f>
        <v>2</v>
      </c>
      <c r="AC412" s="3" t="str">
        <f>IF(fin_table[[#This Row],[Loan Defaulters]]=1,"Default", "Good")</f>
        <v>Good</v>
      </c>
      <c r="AD412" s="3">
        <f t="shared" si="47"/>
        <v>1</v>
      </c>
      <c r="AE412" s="4">
        <v>14294.59</v>
      </c>
      <c r="AF412" s="4" t="str">
        <f>IF(fin_table[[#This Row],[Monthly Income]]&lt;3000, "Low Income", IF(fin_table[[#This Row],[Monthly Income]]&lt;=5000, "Middle Income", "High Income"))</f>
        <v>High Income</v>
      </c>
      <c r="AG412" t="s">
        <v>63</v>
      </c>
      <c r="AH412" t="s">
        <v>3635</v>
      </c>
      <c r="AI412" t="str">
        <f t="shared" si="48"/>
        <v>Low-Risk</v>
      </c>
    </row>
    <row r="413" spans="1:35" x14ac:dyDescent="0.35">
      <c r="A413" t="s">
        <v>1593</v>
      </c>
      <c r="B413" t="s">
        <v>1594</v>
      </c>
      <c r="C413" t="s">
        <v>1595</v>
      </c>
      <c r="D413" s="1">
        <v>44887</v>
      </c>
      <c r="E413" s="1" t="str">
        <f t="shared" si="42"/>
        <v>22</v>
      </c>
      <c r="F413" s="1" t="str">
        <f t="shared" si="43"/>
        <v>Nov</v>
      </c>
      <c r="G413" s="6" t="s">
        <v>23</v>
      </c>
      <c r="H413" s="5">
        <v>5319.54</v>
      </c>
      <c r="I413" s="5" t="str">
        <f>IF(fin_table[[#This Row],[Account Balance]]&lt;20000,"Active", "Not Active")</f>
        <v>Not Active</v>
      </c>
      <c r="J413" s="5">
        <v>24272.6</v>
      </c>
      <c r="K413" s="5" t="str">
        <f t="shared" si="44"/>
        <v>Medium</v>
      </c>
      <c r="L413" s="6" t="s">
        <v>24</v>
      </c>
      <c r="M413">
        <v>45</v>
      </c>
      <c r="N413" s="6" t="str">
        <f t="shared" si="45"/>
        <v>Middle-Aged</v>
      </c>
      <c r="O413" s="6" t="s">
        <v>25</v>
      </c>
      <c r="P413" s="6" t="s">
        <v>26</v>
      </c>
      <c r="Q413" t="s">
        <v>222</v>
      </c>
      <c r="R413" s="6" t="s">
        <v>38</v>
      </c>
      <c r="S413" s="6" t="s">
        <v>62</v>
      </c>
      <c r="T413" s="14">
        <v>3.7600000000000001E-2</v>
      </c>
      <c r="U413">
        <v>3.76</v>
      </c>
      <c r="V413" t="str">
        <f>IF(fin_table[[#This Row],[Interest Rate(%)]]&gt;4,"high","low")</f>
        <v>low</v>
      </c>
      <c r="W413" s="5">
        <v>28932.06</v>
      </c>
      <c r="X413" s="5">
        <f>fin_table[[#This Row],[Interest Rate]]*fin_table[[#This Row],[Loan Amount]]</f>
        <v>1087.845456</v>
      </c>
      <c r="Y413">
        <v>29</v>
      </c>
      <c r="Z413" s="3">
        <v>432</v>
      </c>
      <c r="AA413" s="3" t="str">
        <f t="shared" si="46"/>
        <v>Poor</v>
      </c>
      <c r="AB413" s="3" cm="1">
        <f t="array" ref="AB413">_xlfn.IFS(fin_table[[#This Row],[Transaction Status]]="Failed", 1, fin_table[[#This Row],[Transaction Status]]="Completed",0,fin_table[[#This Row],[Transaction Status]]="Pending",2)</f>
        <v>2</v>
      </c>
      <c r="AC413" s="3" t="str">
        <f>IF(fin_table[[#This Row],[Loan Defaulters]]=1,"Default", "Good")</f>
        <v>Good</v>
      </c>
      <c r="AD413" s="3">
        <f t="shared" si="47"/>
        <v>1</v>
      </c>
      <c r="AE413" s="4">
        <v>11718.47</v>
      </c>
      <c r="AF413" s="4" t="str">
        <f>IF(fin_table[[#This Row],[Monthly Income]]&lt;3000, "Low Income", IF(fin_table[[#This Row],[Monthly Income]]&lt;=5000, "Middle Income", "High Income"))</f>
        <v>High Income</v>
      </c>
      <c r="AG413" t="s">
        <v>45</v>
      </c>
      <c r="AH413" t="s">
        <v>3636</v>
      </c>
      <c r="AI413" t="str">
        <f t="shared" si="48"/>
        <v>Low-Risk</v>
      </c>
    </row>
    <row r="414" spans="1:35" x14ac:dyDescent="0.35">
      <c r="A414" t="s">
        <v>1596</v>
      </c>
      <c r="B414" t="s">
        <v>1597</v>
      </c>
      <c r="C414" t="s">
        <v>1598</v>
      </c>
      <c r="D414" s="1">
        <v>44845</v>
      </c>
      <c r="E414" s="1" t="str">
        <f t="shared" si="42"/>
        <v>11</v>
      </c>
      <c r="F414" s="1" t="str">
        <f t="shared" si="43"/>
        <v>Oct</v>
      </c>
      <c r="G414" s="6" t="s">
        <v>71</v>
      </c>
      <c r="H414" s="5">
        <v>6362.19</v>
      </c>
      <c r="I414" s="5" t="str">
        <f>IF(fin_table[[#This Row],[Account Balance]]&lt;20000,"Active", "Not Active")</f>
        <v>Active</v>
      </c>
      <c r="J414" s="5">
        <v>3705.9</v>
      </c>
      <c r="K414" s="5" t="str">
        <f t="shared" si="44"/>
        <v>Low</v>
      </c>
      <c r="L414" s="6" t="s">
        <v>100</v>
      </c>
      <c r="M414">
        <v>26</v>
      </c>
      <c r="N414" s="6" t="str">
        <f t="shared" si="45"/>
        <v>Adults</v>
      </c>
      <c r="O414" s="6" t="s">
        <v>42</v>
      </c>
      <c r="P414" s="6" t="s">
        <v>50</v>
      </c>
      <c r="Q414" t="s">
        <v>1599</v>
      </c>
      <c r="R414" s="6" t="s">
        <v>28</v>
      </c>
      <c r="S414" s="6" t="s">
        <v>29</v>
      </c>
      <c r="T414" s="14">
        <v>4.41E-2</v>
      </c>
      <c r="U414">
        <v>4.41</v>
      </c>
      <c r="V414" t="str">
        <f>IF(fin_table[[#This Row],[Interest Rate(%)]]&gt;4,"high","low")</f>
        <v>high</v>
      </c>
      <c r="W414" s="5">
        <v>7795.66</v>
      </c>
      <c r="X414" s="5">
        <f>fin_table[[#This Row],[Interest Rate]]*fin_table[[#This Row],[Loan Amount]]</f>
        <v>343.78860600000002</v>
      </c>
      <c r="Y414">
        <v>16</v>
      </c>
      <c r="Z414" s="3">
        <v>649</v>
      </c>
      <c r="AA414" s="3" t="str">
        <f t="shared" si="46"/>
        <v>Fair</v>
      </c>
      <c r="AB414" s="3" cm="1">
        <f t="array" ref="AB414">_xlfn.IFS(fin_table[[#This Row],[Transaction Status]]="Failed", 1, fin_table[[#This Row],[Transaction Status]]="Completed",0,fin_table[[#This Row],[Transaction Status]]="Pending",2)</f>
        <v>1</v>
      </c>
      <c r="AC414" s="3" t="str">
        <f>IF(fin_table[[#This Row],[Loan Defaulters]]=1,"Default", "Good")</f>
        <v>Default</v>
      </c>
      <c r="AD414" s="3">
        <f t="shared" si="47"/>
        <v>2</v>
      </c>
      <c r="AE414" s="4">
        <v>11497.05</v>
      </c>
      <c r="AF414" s="4" t="str">
        <f>IF(fin_table[[#This Row],[Monthly Income]]&lt;3000, "Low Income", IF(fin_table[[#This Row],[Monthly Income]]&lt;=5000, "Middle Income", "High Income"))</f>
        <v>High Income</v>
      </c>
      <c r="AG414" t="s">
        <v>30</v>
      </c>
      <c r="AH414" t="s">
        <v>3636</v>
      </c>
      <c r="AI414" t="str">
        <f t="shared" si="48"/>
        <v>Low-Risk</v>
      </c>
    </row>
    <row r="415" spans="1:35" x14ac:dyDescent="0.35">
      <c r="A415" t="s">
        <v>1600</v>
      </c>
      <c r="B415" t="s">
        <v>1601</v>
      </c>
      <c r="C415" t="s">
        <v>1602</v>
      </c>
      <c r="D415" s="1">
        <v>44983</v>
      </c>
      <c r="E415" s="1" t="str">
        <f t="shared" si="42"/>
        <v>26</v>
      </c>
      <c r="F415" s="1" t="str">
        <f t="shared" si="43"/>
        <v>Feb</v>
      </c>
      <c r="G415" s="6" t="s">
        <v>56</v>
      </c>
      <c r="H415" s="5">
        <v>6480.26</v>
      </c>
      <c r="I415" s="5" t="str">
        <f>IF(fin_table[[#This Row],[Account Balance]]&lt;20000,"Active", "Not Active")</f>
        <v>Not Active</v>
      </c>
      <c r="J415" s="5">
        <v>47176.79</v>
      </c>
      <c r="K415" s="5" t="str">
        <f t="shared" si="44"/>
        <v>Medium</v>
      </c>
      <c r="L415" s="6" t="s">
        <v>100</v>
      </c>
      <c r="M415">
        <v>29</v>
      </c>
      <c r="N415" s="6" t="str">
        <f t="shared" si="45"/>
        <v>Adults</v>
      </c>
      <c r="O415" s="6" t="s">
        <v>42</v>
      </c>
      <c r="P415" s="6" t="s">
        <v>50</v>
      </c>
      <c r="Q415" t="s">
        <v>1254</v>
      </c>
      <c r="R415" s="6" t="s">
        <v>38</v>
      </c>
      <c r="S415" s="6" t="s">
        <v>62</v>
      </c>
      <c r="T415" s="14">
        <v>3.2399999999999998E-2</v>
      </c>
      <c r="U415">
        <v>3.24</v>
      </c>
      <c r="V415" t="str">
        <f>IF(fin_table[[#This Row],[Interest Rate(%)]]&gt;4,"high","low")</f>
        <v>low</v>
      </c>
      <c r="W415" s="5">
        <v>39495.08</v>
      </c>
      <c r="X415" s="5">
        <f>fin_table[[#This Row],[Interest Rate]]*fin_table[[#This Row],[Loan Amount]]</f>
        <v>1279.640592</v>
      </c>
      <c r="Y415">
        <v>20</v>
      </c>
      <c r="Z415" s="3">
        <v>581</v>
      </c>
      <c r="AA415" s="3" t="str">
        <f t="shared" si="46"/>
        <v>Fair</v>
      </c>
      <c r="AB415" s="3" cm="1">
        <f t="array" ref="AB415">_xlfn.IFS(fin_table[[#This Row],[Transaction Status]]="Failed", 1, fin_table[[#This Row],[Transaction Status]]="Completed",0,fin_table[[#This Row],[Transaction Status]]="Pending",2)</f>
        <v>2</v>
      </c>
      <c r="AC415" s="3" t="str">
        <f>IF(fin_table[[#This Row],[Loan Defaulters]]=1,"Default", "Good")</f>
        <v>Good</v>
      </c>
      <c r="AD415" s="3">
        <f t="shared" si="47"/>
        <v>2</v>
      </c>
      <c r="AE415" s="4">
        <v>2602.59</v>
      </c>
      <c r="AF415" s="4" t="str">
        <f>IF(fin_table[[#This Row],[Monthly Income]]&lt;3000, "Low Income", IF(fin_table[[#This Row],[Monthly Income]]&lt;=5000, "Middle Income", "High Income"))</f>
        <v>Low Income</v>
      </c>
      <c r="AG415" t="s">
        <v>30</v>
      </c>
      <c r="AH415" t="s">
        <v>3636</v>
      </c>
      <c r="AI415" t="str">
        <f t="shared" si="48"/>
        <v>High-Risk</v>
      </c>
    </row>
    <row r="416" spans="1:35" x14ac:dyDescent="0.35">
      <c r="A416" t="s">
        <v>1603</v>
      </c>
      <c r="B416" t="s">
        <v>1604</v>
      </c>
      <c r="C416" t="s">
        <v>1605</v>
      </c>
      <c r="D416" s="1">
        <v>45110</v>
      </c>
      <c r="E416" s="1" t="str">
        <f t="shared" si="42"/>
        <v>03</v>
      </c>
      <c r="F416" s="1" t="str">
        <f t="shared" si="43"/>
        <v>Jul</v>
      </c>
      <c r="G416" s="6" t="s">
        <v>23</v>
      </c>
      <c r="H416" s="5">
        <v>8216</v>
      </c>
      <c r="I416" s="5" t="str">
        <f>IF(fin_table[[#This Row],[Account Balance]]&lt;20000,"Active", "Not Active")</f>
        <v>Active</v>
      </c>
      <c r="J416" s="5">
        <v>4666.24</v>
      </c>
      <c r="K416" s="5" t="str">
        <f t="shared" si="44"/>
        <v>Low</v>
      </c>
      <c r="L416" s="6" t="s">
        <v>125</v>
      </c>
      <c r="M416">
        <v>22</v>
      </c>
      <c r="N416" s="6" t="str">
        <f t="shared" si="45"/>
        <v>Young Adults</v>
      </c>
      <c r="O416" s="6" t="s">
        <v>42</v>
      </c>
      <c r="P416" s="6" t="s">
        <v>50</v>
      </c>
      <c r="Q416" t="s">
        <v>761</v>
      </c>
      <c r="R416" s="6" t="s">
        <v>52</v>
      </c>
      <c r="S416" s="6" t="s">
        <v>44</v>
      </c>
      <c r="T416" s="14">
        <v>3.1300000000000001E-2</v>
      </c>
      <c r="U416">
        <v>3.13</v>
      </c>
      <c r="V416" t="str">
        <f>IF(fin_table[[#This Row],[Interest Rate(%)]]&gt;4,"high","low")</f>
        <v>low</v>
      </c>
      <c r="W416" s="5">
        <v>37364.519999999997</v>
      </c>
      <c r="X416" s="5">
        <f>fin_table[[#This Row],[Interest Rate]]*fin_table[[#This Row],[Loan Amount]]</f>
        <v>1169.5094759999999</v>
      </c>
      <c r="Y416">
        <v>13</v>
      </c>
      <c r="Z416" s="3">
        <v>592</v>
      </c>
      <c r="AA416" s="3" t="str">
        <f t="shared" si="46"/>
        <v>Fair</v>
      </c>
      <c r="AB416" s="3" cm="1">
        <f t="array" ref="AB416">_xlfn.IFS(fin_table[[#This Row],[Transaction Status]]="Failed", 1, fin_table[[#This Row],[Transaction Status]]="Completed",0,fin_table[[#This Row],[Transaction Status]]="Pending",2)</f>
        <v>0</v>
      </c>
      <c r="AC416" s="3" t="str">
        <f>IF(fin_table[[#This Row],[Loan Defaulters]]=1,"Default", "Good")</f>
        <v>Good</v>
      </c>
      <c r="AD416" s="3">
        <f t="shared" si="47"/>
        <v>2</v>
      </c>
      <c r="AE416" s="4">
        <v>9145.7099999999991</v>
      </c>
      <c r="AF416" s="4" t="str">
        <f>IF(fin_table[[#This Row],[Monthly Income]]&lt;3000, "Low Income", IF(fin_table[[#This Row],[Monthly Income]]&lt;=5000, "Middle Income", "High Income"))</f>
        <v>High Income</v>
      </c>
      <c r="AG416" t="s">
        <v>30</v>
      </c>
      <c r="AH416" t="s">
        <v>3636</v>
      </c>
      <c r="AI416" t="str">
        <f t="shared" si="48"/>
        <v>High-Risk</v>
      </c>
    </row>
    <row r="417" spans="1:35" x14ac:dyDescent="0.35">
      <c r="A417" t="s">
        <v>1606</v>
      </c>
      <c r="B417" t="s">
        <v>1607</v>
      </c>
      <c r="C417" t="s">
        <v>1608</v>
      </c>
      <c r="D417" s="1">
        <v>44846</v>
      </c>
      <c r="E417" s="1" t="str">
        <f t="shared" si="42"/>
        <v>12</v>
      </c>
      <c r="F417" s="1" t="str">
        <f t="shared" si="43"/>
        <v>Oct</v>
      </c>
      <c r="G417" s="6" t="s">
        <v>23</v>
      </c>
      <c r="H417" s="5">
        <v>3400.73</v>
      </c>
      <c r="I417" s="5" t="str">
        <f>IF(fin_table[[#This Row],[Account Balance]]&lt;20000,"Active", "Not Active")</f>
        <v>Not Active</v>
      </c>
      <c r="J417" s="5">
        <v>22484.38</v>
      </c>
      <c r="K417" s="5" t="str">
        <f t="shared" si="44"/>
        <v>Medium</v>
      </c>
      <c r="L417" s="6" t="s">
        <v>125</v>
      </c>
      <c r="M417">
        <v>69</v>
      </c>
      <c r="N417" s="6" t="str">
        <f t="shared" si="45"/>
        <v>Seniors</v>
      </c>
      <c r="O417" s="6" t="s">
        <v>42</v>
      </c>
      <c r="P417" s="6" t="s">
        <v>50</v>
      </c>
      <c r="Q417" t="s">
        <v>304</v>
      </c>
      <c r="R417" s="6" t="s">
        <v>52</v>
      </c>
      <c r="S417" s="6" t="s">
        <v>62</v>
      </c>
      <c r="T417" s="14">
        <v>2.6100000000000002E-2</v>
      </c>
      <c r="U417">
        <v>2.61</v>
      </c>
      <c r="V417" t="str">
        <f>IF(fin_table[[#This Row],[Interest Rate(%)]]&gt;4,"high","low")</f>
        <v>low</v>
      </c>
      <c r="W417" s="5">
        <v>26681.654999999999</v>
      </c>
      <c r="X417" s="5">
        <f>fin_table[[#This Row],[Interest Rate]]*fin_table[[#This Row],[Loan Amount]]</f>
        <v>696.39119549999998</v>
      </c>
      <c r="Y417">
        <v>27</v>
      </c>
      <c r="Z417" s="3">
        <v>568</v>
      </c>
      <c r="AA417" s="3" t="str">
        <f t="shared" si="46"/>
        <v>Poor</v>
      </c>
      <c r="AB417" s="3" cm="1">
        <f t="array" ref="AB417">_xlfn.IFS(fin_table[[#This Row],[Transaction Status]]="Failed", 1, fin_table[[#This Row],[Transaction Status]]="Completed",0,fin_table[[#This Row],[Transaction Status]]="Pending",2)</f>
        <v>2</v>
      </c>
      <c r="AC417" s="3" t="str">
        <f>IF(fin_table[[#This Row],[Loan Defaulters]]=1,"Default", "Good")</f>
        <v>Good</v>
      </c>
      <c r="AD417" s="3">
        <f t="shared" si="47"/>
        <v>1</v>
      </c>
      <c r="AE417" s="4">
        <v>8070.89</v>
      </c>
      <c r="AF417" s="4" t="str">
        <f>IF(fin_table[[#This Row],[Monthly Income]]&lt;3000, "Low Income", IF(fin_table[[#This Row],[Monthly Income]]&lt;=5000, "Middle Income", "High Income"))</f>
        <v>High Income</v>
      </c>
      <c r="AG417" t="s">
        <v>63</v>
      </c>
      <c r="AH417" t="s">
        <v>3635</v>
      </c>
      <c r="AI417" t="str">
        <f t="shared" si="48"/>
        <v>Low-Risk</v>
      </c>
    </row>
    <row r="418" spans="1:35" x14ac:dyDescent="0.35">
      <c r="A418" t="s">
        <v>1609</v>
      </c>
      <c r="B418" t="s">
        <v>1610</v>
      </c>
      <c r="C418" t="s">
        <v>1611</v>
      </c>
      <c r="D418" s="1">
        <v>45048</v>
      </c>
      <c r="E418" s="1" t="str">
        <f t="shared" si="42"/>
        <v>02</v>
      </c>
      <c r="F418" s="1" t="str">
        <f t="shared" si="43"/>
        <v>May</v>
      </c>
      <c r="G418" s="6" t="s">
        <v>23</v>
      </c>
      <c r="H418" s="5">
        <v>7357.21</v>
      </c>
      <c r="I418" s="5" t="str">
        <f>IF(fin_table[[#This Row],[Account Balance]]&lt;20000,"Active", "Not Active")</f>
        <v>Not Active</v>
      </c>
      <c r="J418" s="5">
        <v>26964.18</v>
      </c>
      <c r="K418" s="5" t="str">
        <f t="shared" si="44"/>
        <v>Medium</v>
      </c>
      <c r="L418" s="6" t="s">
        <v>125</v>
      </c>
      <c r="M418">
        <v>45</v>
      </c>
      <c r="N418" s="6" t="str">
        <f t="shared" si="45"/>
        <v>Middle-Aged</v>
      </c>
      <c r="O418" s="6" t="s">
        <v>42</v>
      </c>
      <c r="P418" s="6" t="s">
        <v>50</v>
      </c>
      <c r="Q418" t="s">
        <v>121</v>
      </c>
      <c r="R418" s="6" t="s">
        <v>38</v>
      </c>
      <c r="S418" s="6" t="s">
        <v>44</v>
      </c>
      <c r="T418" s="14">
        <v>1.6500000000000001E-2</v>
      </c>
      <c r="U418">
        <v>1.65</v>
      </c>
      <c r="V418" t="str">
        <f>IF(fin_table[[#This Row],[Interest Rate(%)]]&gt;4,"high","low")</f>
        <v>low</v>
      </c>
      <c r="W418" s="5">
        <v>33780.29</v>
      </c>
      <c r="X418" s="5">
        <f>fin_table[[#This Row],[Interest Rate]]*fin_table[[#This Row],[Loan Amount]]</f>
        <v>557.37478500000009</v>
      </c>
      <c r="Y418">
        <v>13</v>
      </c>
      <c r="Z418" s="3">
        <v>496</v>
      </c>
      <c r="AA418" s="3" t="str">
        <f t="shared" si="46"/>
        <v>Poor</v>
      </c>
      <c r="AB418" s="3" cm="1">
        <f t="array" ref="AB418">_xlfn.IFS(fin_table[[#This Row],[Transaction Status]]="Failed", 1, fin_table[[#This Row],[Transaction Status]]="Completed",0,fin_table[[#This Row],[Transaction Status]]="Pending",2)</f>
        <v>0</v>
      </c>
      <c r="AC418" s="3" t="str">
        <f>IF(fin_table[[#This Row],[Loan Defaulters]]=1,"Default", "Good")</f>
        <v>Good</v>
      </c>
      <c r="AD418" s="3">
        <f t="shared" si="47"/>
        <v>1</v>
      </c>
      <c r="AE418" s="4">
        <v>14061.95</v>
      </c>
      <c r="AF418" s="4" t="str">
        <f>IF(fin_table[[#This Row],[Monthly Income]]&lt;3000, "Low Income", IF(fin_table[[#This Row],[Monthly Income]]&lt;=5000, "Middle Income", "High Income"))</f>
        <v>High Income</v>
      </c>
      <c r="AG418" t="s">
        <v>30</v>
      </c>
      <c r="AH418" t="s">
        <v>3636</v>
      </c>
      <c r="AI418" t="str">
        <f t="shared" si="48"/>
        <v>High-Risk</v>
      </c>
    </row>
    <row r="419" spans="1:35" x14ac:dyDescent="0.35">
      <c r="A419" t="s">
        <v>1612</v>
      </c>
      <c r="B419" t="s">
        <v>1613</v>
      </c>
      <c r="C419" t="s">
        <v>1614</v>
      </c>
      <c r="D419" s="1">
        <v>44691</v>
      </c>
      <c r="E419" s="1" t="str">
        <f t="shared" si="42"/>
        <v>10</v>
      </c>
      <c r="F419" s="1" t="str">
        <f t="shared" si="43"/>
        <v>May</v>
      </c>
      <c r="G419" s="6" t="s">
        <v>71</v>
      </c>
      <c r="H419" s="5">
        <v>5332.92</v>
      </c>
      <c r="I419" s="5" t="str">
        <f>IF(fin_table[[#This Row],[Account Balance]]&lt;20000,"Active", "Not Active")</f>
        <v>Not Active</v>
      </c>
      <c r="J419" s="5">
        <v>49279.89</v>
      </c>
      <c r="K419" s="5" t="str">
        <f t="shared" si="44"/>
        <v>Medium</v>
      </c>
      <c r="L419" s="6" t="s">
        <v>49</v>
      </c>
      <c r="M419">
        <v>52</v>
      </c>
      <c r="N419" s="6" t="str">
        <f t="shared" si="45"/>
        <v>Older Adults</v>
      </c>
      <c r="O419" s="6" t="s">
        <v>25</v>
      </c>
      <c r="P419" s="6" t="s">
        <v>50</v>
      </c>
      <c r="Q419" t="s">
        <v>1615</v>
      </c>
      <c r="R419" s="6" t="s">
        <v>28</v>
      </c>
      <c r="S419" s="6" t="s">
        <v>62</v>
      </c>
      <c r="T419" s="14">
        <v>1.47E-2</v>
      </c>
      <c r="U419">
        <v>1.47</v>
      </c>
      <c r="V419" t="str">
        <f>IF(fin_table[[#This Row],[Interest Rate(%)]]&gt;4,"high","low")</f>
        <v>low</v>
      </c>
      <c r="W419" s="5">
        <v>26681.654999999999</v>
      </c>
      <c r="X419" s="5">
        <f>fin_table[[#This Row],[Interest Rate]]*fin_table[[#This Row],[Loan Amount]]</f>
        <v>392.22032849999999</v>
      </c>
      <c r="Y419">
        <v>13</v>
      </c>
      <c r="Z419" s="3">
        <v>836</v>
      </c>
      <c r="AA419" s="3" t="str">
        <f t="shared" si="46"/>
        <v>Excellent</v>
      </c>
      <c r="AB419" s="3" cm="1">
        <f t="array" ref="AB419">_xlfn.IFS(fin_table[[#This Row],[Transaction Status]]="Failed", 1, fin_table[[#This Row],[Transaction Status]]="Completed",0,fin_table[[#This Row],[Transaction Status]]="Pending",2)</f>
        <v>2</v>
      </c>
      <c r="AC419" s="3" t="str">
        <f>IF(fin_table[[#This Row],[Loan Defaulters]]=1,"Default", "Good")</f>
        <v>Good</v>
      </c>
      <c r="AD419" s="3">
        <f t="shared" si="47"/>
        <v>5</v>
      </c>
      <c r="AE419" s="4">
        <v>5345.45</v>
      </c>
      <c r="AF419" s="4" t="str">
        <f>IF(fin_table[[#This Row],[Monthly Income]]&lt;3000, "Low Income", IF(fin_table[[#This Row],[Monthly Income]]&lt;=5000, "Middle Income", "High Income"))</f>
        <v>High Income</v>
      </c>
      <c r="AG419" t="s">
        <v>45</v>
      </c>
      <c r="AH419" t="s">
        <v>3635</v>
      </c>
      <c r="AI419" t="str">
        <f t="shared" si="48"/>
        <v>Low-Risk</v>
      </c>
    </row>
    <row r="420" spans="1:35" x14ac:dyDescent="0.35">
      <c r="A420" t="s">
        <v>1616</v>
      </c>
      <c r="B420" t="s">
        <v>1617</v>
      </c>
      <c r="C420" t="s">
        <v>1618</v>
      </c>
      <c r="D420" s="1">
        <v>44666</v>
      </c>
      <c r="E420" s="1" t="str">
        <f t="shared" si="42"/>
        <v>15</v>
      </c>
      <c r="F420" s="1" t="str">
        <f t="shared" si="43"/>
        <v>Apr</v>
      </c>
      <c r="G420" s="6" t="s">
        <v>71</v>
      </c>
      <c r="H420" s="5">
        <v>7954.6</v>
      </c>
      <c r="I420" s="5" t="str">
        <f>IF(fin_table[[#This Row],[Account Balance]]&lt;20000,"Active", "Not Active")</f>
        <v>Active</v>
      </c>
      <c r="J420" s="5">
        <v>9135.07</v>
      </c>
      <c r="K420" s="5" t="str">
        <f t="shared" si="44"/>
        <v>Low</v>
      </c>
      <c r="L420" s="6" t="s">
        <v>24</v>
      </c>
      <c r="M420">
        <v>22</v>
      </c>
      <c r="N420" s="6" t="str">
        <f t="shared" si="45"/>
        <v>Young Adults</v>
      </c>
      <c r="O420" s="6" t="s">
        <v>25</v>
      </c>
      <c r="P420" s="6" t="s">
        <v>50</v>
      </c>
      <c r="Q420" t="s">
        <v>1619</v>
      </c>
      <c r="R420" s="6" t="s">
        <v>52</v>
      </c>
      <c r="S420" s="6" t="s">
        <v>62</v>
      </c>
      <c r="T420" s="14">
        <v>4.0399999999999998E-2</v>
      </c>
      <c r="U420">
        <v>4.04</v>
      </c>
      <c r="V420" t="str">
        <f>IF(fin_table[[#This Row],[Interest Rate(%)]]&gt;4,"high","low")</f>
        <v>high</v>
      </c>
      <c r="W420" s="5">
        <v>16391.849999999999</v>
      </c>
      <c r="X420" s="5">
        <f>fin_table[[#This Row],[Interest Rate]]*fin_table[[#This Row],[Loan Amount]]</f>
        <v>662.23073999999997</v>
      </c>
      <c r="Y420">
        <v>13</v>
      </c>
      <c r="Z420" s="3">
        <v>319</v>
      </c>
      <c r="AA420" s="3" t="str">
        <f t="shared" si="46"/>
        <v>Poor</v>
      </c>
      <c r="AB420" s="3" cm="1">
        <f t="array" ref="AB420">_xlfn.IFS(fin_table[[#This Row],[Transaction Status]]="Failed", 1, fin_table[[#This Row],[Transaction Status]]="Completed",0,fin_table[[#This Row],[Transaction Status]]="Pending",2)</f>
        <v>2</v>
      </c>
      <c r="AC420" s="3" t="str">
        <f>IF(fin_table[[#This Row],[Loan Defaulters]]=1,"Default", "Good")</f>
        <v>Good</v>
      </c>
      <c r="AD420" s="3">
        <f t="shared" si="47"/>
        <v>1</v>
      </c>
      <c r="AE420" s="4">
        <v>5507.83</v>
      </c>
      <c r="AF420" s="4" t="str">
        <f>IF(fin_table[[#This Row],[Monthly Income]]&lt;3000, "Low Income", IF(fin_table[[#This Row],[Monthly Income]]&lt;=5000, "Middle Income", "High Income"))</f>
        <v>High Income</v>
      </c>
      <c r="AG420" t="s">
        <v>45</v>
      </c>
      <c r="AH420" t="s">
        <v>3636</v>
      </c>
      <c r="AI420" t="str">
        <f t="shared" si="48"/>
        <v>Low-Risk</v>
      </c>
    </row>
    <row r="421" spans="1:35" x14ac:dyDescent="0.35">
      <c r="A421" t="s">
        <v>1620</v>
      </c>
      <c r="B421" t="s">
        <v>1621</v>
      </c>
      <c r="C421" t="s">
        <v>1622</v>
      </c>
      <c r="D421" s="1">
        <v>45118</v>
      </c>
      <c r="E421" s="1" t="str">
        <f t="shared" si="42"/>
        <v>11</v>
      </c>
      <c r="F421" s="1" t="str">
        <f t="shared" si="43"/>
        <v>Jul</v>
      </c>
      <c r="G421" s="6" t="s">
        <v>34</v>
      </c>
      <c r="H421" s="5">
        <v>9906.41</v>
      </c>
      <c r="I421" s="5" t="str">
        <f>IF(fin_table[[#This Row],[Account Balance]]&lt;20000,"Active", "Not Active")</f>
        <v>Active</v>
      </c>
      <c r="J421" s="5">
        <v>6607.14</v>
      </c>
      <c r="K421" s="5" t="str">
        <f t="shared" si="44"/>
        <v>Low</v>
      </c>
      <c r="L421" s="6" t="s">
        <v>24</v>
      </c>
      <c r="M421">
        <v>51</v>
      </c>
      <c r="N421" s="6" t="str">
        <f t="shared" si="45"/>
        <v>Older Adults</v>
      </c>
      <c r="O421" s="6" t="s">
        <v>25</v>
      </c>
      <c r="P421" s="6" t="s">
        <v>26</v>
      </c>
      <c r="Q421" t="s">
        <v>426</v>
      </c>
      <c r="R421" s="6" t="s">
        <v>52</v>
      </c>
      <c r="S421" s="6" t="s">
        <v>62</v>
      </c>
      <c r="T421" s="14">
        <v>4.7100000000000003E-2</v>
      </c>
      <c r="U421">
        <v>4.71</v>
      </c>
      <c r="V421" t="str">
        <f>IF(fin_table[[#This Row],[Interest Rate(%)]]&gt;4,"high","low")</f>
        <v>high</v>
      </c>
      <c r="W421" s="5">
        <v>26681.654999999999</v>
      </c>
      <c r="X421" s="5">
        <f>fin_table[[#This Row],[Interest Rate]]*fin_table[[#This Row],[Loan Amount]]</f>
        <v>1256.7059505</v>
      </c>
      <c r="Y421">
        <v>13</v>
      </c>
      <c r="Z421" s="3">
        <v>704</v>
      </c>
      <c r="AA421" s="3" t="str">
        <f t="shared" si="46"/>
        <v>Good</v>
      </c>
      <c r="AB421" s="3" cm="1">
        <f t="array" ref="AB421">_xlfn.IFS(fin_table[[#This Row],[Transaction Status]]="Failed", 1, fin_table[[#This Row],[Transaction Status]]="Completed",0,fin_table[[#This Row],[Transaction Status]]="Pending",2)</f>
        <v>2</v>
      </c>
      <c r="AC421" s="3" t="str">
        <f>IF(fin_table[[#This Row],[Loan Defaulters]]=1,"Default", "Good")</f>
        <v>Good</v>
      </c>
      <c r="AD421" s="3">
        <f t="shared" si="47"/>
        <v>3</v>
      </c>
      <c r="AE421" s="4">
        <v>7347.5</v>
      </c>
      <c r="AF421" s="4" t="str">
        <f>IF(fin_table[[#This Row],[Monthly Income]]&lt;3000, "Low Income", IF(fin_table[[#This Row],[Monthly Income]]&lt;=5000, "Middle Income", "High Income"))</f>
        <v>High Income</v>
      </c>
      <c r="AG421" t="s">
        <v>45</v>
      </c>
      <c r="AH421" t="s">
        <v>3635</v>
      </c>
      <c r="AI421" t="str">
        <f t="shared" si="48"/>
        <v>Low-Risk</v>
      </c>
    </row>
    <row r="422" spans="1:35" x14ac:dyDescent="0.35">
      <c r="A422" t="s">
        <v>1623</v>
      </c>
      <c r="B422" t="s">
        <v>1624</v>
      </c>
      <c r="C422" t="s">
        <v>1625</v>
      </c>
      <c r="D422" s="1">
        <v>45117</v>
      </c>
      <c r="E422" s="1" t="str">
        <f t="shared" si="42"/>
        <v>10</v>
      </c>
      <c r="F422" s="1" t="str">
        <f t="shared" si="43"/>
        <v>Jul</v>
      </c>
      <c r="G422" s="6" t="s">
        <v>56</v>
      </c>
      <c r="H422" s="5">
        <v>2086.4499999999998</v>
      </c>
      <c r="I422" s="5" t="str">
        <f>IF(fin_table[[#This Row],[Account Balance]]&lt;20000,"Active", "Not Active")</f>
        <v>Active</v>
      </c>
      <c r="J422" s="5">
        <v>1426.6</v>
      </c>
      <c r="K422" s="5" t="str">
        <f t="shared" si="44"/>
        <v>Low</v>
      </c>
      <c r="L422" s="6" t="s">
        <v>24</v>
      </c>
      <c r="M422">
        <v>63</v>
      </c>
      <c r="N422" s="6" t="str">
        <f t="shared" si="45"/>
        <v>Seniors</v>
      </c>
      <c r="O422" s="6" t="s">
        <v>42</v>
      </c>
      <c r="P422" s="6" t="s">
        <v>50</v>
      </c>
      <c r="Q422" t="s">
        <v>1626</v>
      </c>
      <c r="R422" s="6" t="s">
        <v>52</v>
      </c>
      <c r="S422" s="6" t="s">
        <v>44</v>
      </c>
      <c r="T422" s="14">
        <v>2.8299999999999999E-2</v>
      </c>
      <c r="U422">
        <v>2.83</v>
      </c>
      <c r="V422" t="str">
        <f>IF(fin_table[[#This Row],[Interest Rate(%)]]&gt;4,"high","low")</f>
        <v>low</v>
      </c>
      <c r="W422" s="5">
        <v>26681.654999999999</v>
      </c>
      <c r="X422" s="5">
        <f>fin_table[[#This Row],[Interest Rate]]*fin_table[[#This Row],[Loan Amount]]</f>
        <v>755.09083649999991</v>
      </c>
      <c r="Y422">
        <v>13</v>
      </c>
      <c r="Z422" s="3">
        <v>414</v>
      </c>
      <c r="AA422" s="3" t="str">
        <f t="shared" si="46"/>
        <v>Poor</v>
      </c>
      <c r="AB422" s="3" cm="1">
        <f t="array" ref="AB422">_xlfn.IFS(fin_table[[#This Row],[Transaction Status]]="Failed", 1, fin_table[[#This Row],[Transaction Status]]="Completed",0,fin_table[[#This Row],[Transaction Status]]="Pending",2)</f>
        <v>0</v>
      </c>
      <c r="AC422" s="3" t="str">
        <f>IF(fin_table[[#This Row],[Loan Defaulters]]=1,"Default", "Good")</f>
        <v>Good</v>
      </c>
      <c r="AD422" s="3">
        <f t="shared" si="47"/>
        <v>1</v>
      </c>
      <c r="AE422" s="4">
        <v>5163.8100000000004</v>
      </c>
      <c r="AF422" s="4" t="str">
        <f>IF(fin_table[[#This Row],[Monthly Income]]&lt;3000, "Low Income", IF(fin_table[[#This Row],[Monthly Income]]&lt;=5000, "Middle Income", "High Income"))</f>
        <v>High Income</v>
      </c>
      <c r="AG422" t="s">
        <v>63</v>
      </c>
      <c r="AH422" t="s">
        <v>3635</v>
      </c>
      <c r="AI422" t="str">
        <f t="shared" si="48"/>
        <v>Low-Risk</v>
      </c>
    </row>
    <row r="423" spans="1:35" x14ac:dyDescent="0.35">
      <c r="A423" t="s">
        <v>1627</v>
      </c>
      <c r="B423" t="s">
        <v>1628</v>
      </c>
      <c r="C423" t="s">
        <v>1629</v>
      </c>
      <c r="D423" s="1">
        <v>44965</v>
      </c>
      <c r="E423" s="1" t="str">
        <f t="shared" si="42"/>
        <v>08</v>
      </c>
      <c r="F423" s="1" t="str">
        <f t="shared" si="43"/>
        <v>Feb</v>
      </c>
      <c r="G423" s="6" t="s">
        <v>34</v>
      </c>
      <c r="H423" s="5">
        <v>9947.02</v>
      </c>
      <c r="I423" s="5" t="str">
        <f>IF(fin_table[[#This Row],[Account Balance]]&lt;20000,"Active", "Not Active")</f>
        <v>Active</v>
      </c>
      <c r="J423" s="5">
        <v>8623</v>
      </c>
      <c r="K423" s="5" t="str">
        <f t="shared" si="44"/>
        <v>Low</v>
      </c>
      <c r="L423" s="6" t="s">
        <v>24</v>
      </c>
      <c r="M423">
        <v>51</v>
      </c>
      <c r="N423" s="6" t="str">
        <f t="shared" si="45"/>
        <v>Older Adults</v>
      </c>
      <c r="O423" s="6" t="s">
        <v>25</v>
      </c>
      <c r="P423" s="6" t="s">
        <v>50</v>
      </c>
      <c r="Q423" t="s">
        <v>1630</v>
      </c>
      <c r="R423" s="6" t="s">
        <v>52</v>
      </c>
      <c r="S423" s="6" t="s">
        <v>62</v>
      </c>
      <c r="T423" s="14">
        <v>3.6400000000000002E-2</v>
      </c>
      <c r="U423">
        <v>3.64</v>
      </c>
      <c r="V423" t="str">
        <f>IF(fin_table[[#This Row],[Interest Rate(%)]]&gt;4,"high","low")</f>
        <v>low</v>
      </c>
      <c r="W423" s="5">
        <v>26681.654999999999</v>
      </c>
      <c r="X423" s="5">
        <f>fin_table[[#This Row],[Interest Rate]]*fin_table[[#This Row],[Loan Amount]]</f>
        <v>971.21224200000006</v>
      </c>
      <c r="Y423">
        <v>13</v>
      </c>
      <c r="Z423" s="3">
        <v>325</v>
      </c>
      <c r="AA423" s="3" t="str">
        <f t="shared" si="46"/>
        <v>Poor</v>
      </c>
      <c r="AB423" s="3" cm="1">
        <f t="array" ref="AB423">_xlfn.IFS(fin_table[[#This Row],[Transaction Status]]="Failed", 1, fin_table[[#This Row],[Transaction Status]]="Completed",0,fin_table[[#This Row],[Transaction Status]]="Pending",2)</f>
        <v>2</v>
      </c>
      <c r="AC423" s="3" t="str">
        <f>IF(fin_table[[#This Row],[Loan Defaulters]]=1,"Default", "Good")</f>
        <v>Good</v>
      </c>
      <c r="AD423" s="3">
        <f t="shared" si="47"/>
        <v>1</v>
      </c>
      <c r="AE423" s="4">
        <v>3679.39</v>
      </c>
      <c r="AF423" s="4" t="str">
        <f>IF(fin_table[[#This Row],[Monthly Income]]&lt;3000, "Low Income", IF(fin_table[[#This Row],[Monthly Income]]&lt;=5000, "Middle Income", "High Income"))</f>
        <v>Middle Income</v>
      </c>
      <c r="AG423" t="s">
        <v>63</v>
      </c>
      <c r="AH423" t="s">
        <v>3635</v>
      </c>
      <c r="AI423" t="str">
        <f t="shared" si="48"/>
        <v>Low-Risk</v>
      </c>
    </row>
    <row r="424" spans="1:35" x14ac:dyDescent="0.35">
      <c r="A424" t="s">
        <v>1631</v>
      </c>
      <c r="B424" t="s">
        <v>1632</v>
      </c>
      <c r="C424" t="s">
        <v>1633</v>
      </c>
      <c r="D424" s="1">
        <v>44936</v>
      </c>
      <c r="E424" s="1" t="str">
        <f t="shared" si="42"/>
        <v>10</v>
      </c>
      <c r="F424" s="1" t="str">
        <f t="shared" si="43"/>
        <v>Jan</v>
      </c>
      <c r="G424" s="6" t="s">
        <v>56</v>
      </c>
      <c r="H424" s="5">
        <v>989.14</v>
      </c>
      <c r="I424" s="5" t="str">
        <f>IF(fin_table[[#This Row],[Account Balance]]&lt;20000,"Active", "Not Active")</f>
        <v>Active</v>
      </c>
      <c r="J424" s="5">
        <v>11156.38</v>
      </c>
      <c r="K424" s="5" t="str">
        <f t="shared" si="44"/>
        <v>Medium</v>
      </c>
      <c r="L424" s="6" t="s">
        <v>125</v>
      </c>
      <c r="M424">
        <v>30</v>
      </c>
      <c r="N424" s="6" t="str">
        <f t="shared" si="45"/>
        <v>Adults</v>
      </c>
      <c r="O424" s="6" t="s">
        <v>42</v>
      </c>
      <c r="P424" s="6" t="s">
        <v>26</v>
      </c>
      <c r="Q424" t="s">
        <v>1634</v>
      </c>
      <c r="R424" s="6" t="s">
        <v>52</v>
      </c>
      <c r="S424" s="6" t="s">
        <v>44</v>
      </c>
      <c r="T424" s="14">
        <v>4.6600000000000003E-2</v>
      </c>
      <c r="U424">
        <v>4.66</v>
      </c>
      <c r="V424" t="str">
        <f>IF(fin_table[[#This Row],[Interest Rate(%)]]&gt;4,"high","low")</f>
        <v>high</v>
      </c>
      <c r="W424" s="5">
        <v>26681.654999999999</v>
      </c>
      <c r="X424" s="5">
        <f>fin_table[[#This Row],[Interest Rate]]*fin_table[[#This Row],[Loan Amount]]</f>
        <v>1243.365123</v>
      </c>
      <c r="Y424">
        <v>13</v>
      </c>
      <c r="Z424" s="3">
        <v>694</v>
      </c>
      <c r="AA424" s="3" t="str">
        <f t="shared" si="46"/>
        <v>Good</v>
      </c>
      <c r="AB424" s="3" cm="1">
        <f t="array" ref="AB424">_xlfn.IFS(fin_table[[#This Row],[Transaction Status]]="Failed", 1, fin_table[[#This Row],[Transaction Status]]="Completed",0,fin_table[[#This Row],[Transaction Status]]="Pending",2)</f>
        <v>0</v>
      </c>
      <c r="AC424" s="3" t="str">
        <f>IF(fin_table[[#This Row],[Loan Defaulters]]=1,"Default", "Good")</f>
        <v>Good</v>
      </c>
      <c r="AD424" s="3">
        <f t="shared" si="47"/>
        <v>3</v>
      </c>
      <c r="AE424" s="4">
        <v>13146.39</v>
      </c>
      <c r="AF424" s="4" t="str">
        <f>IF(fin_table[[#This Row],[Monthly Income]]&lt;3000, "Low Income", IF(fin_table[[#This Row],[Monthly Income]]&lt;=5000, "Middle Income", "High Income"))</f>
        <v>High Income</v>
      </c>
      <c r="AG424" t="s">
        <v>30</v>
      </c>
      <c r="AH424" t="s">
        <v>3635</v>
      </c>
      <c r="AI424" t="str">
        <f t="shared" si="48"/>
        <v>Low-Risk</v>
      </c>
    </row>
    <row r="425" spans="1:35" x14ac:dyDescent="0.35">
      <c r="A425" t="s">
        <v>1635</v>
      </c>
      <c r="B425" t="s">
        <v>1636</v>
      </c>
      <c r="C425" t="s">
        <v>1637</v>
      </c>
      <c r="D425" s="1">
        <v>44815</v>
      </c>
      <c r="E425" s="1" t="str">
        <f t="shared" si="42"/>
        <v>11</v>
      </c>
      <c r="F425" s="1" t="str">
        <f t="shared" si="43"/>
        <v>Sep</v>
      </c>
      <c r="G425" s="6" t="s">
        <v>71</v>
      </c>
      <c r="H425" s="5">
        <v>122.94</v>
      </c>
      <c r="I425" s="5" t="str">
        <f>IF(fin_table[[#This Row],[Account Balance]]&lt;20000,"Active", "Not Active")</f>
        <v>Not Active</v>
      </c>
      <c r="J425" s="5">
        <v>31898.47</v>
      </c>
      <c r="K425" s="5" t="str">
        <f t="shared" si="44"/>
        <v>Medium</v>
      </c>
      <c r="L425" s="6" t="s">
        <v>100</v>
      </c>
      <c r="M425">
        <v>56</v>
      </c>
      <c r="N425" s="6" t="str">
        <f t="shared" si="45"/>
        <v>Older Adults</v>
      </c>
      <c r="O425" s="6" t="s">
        <v>25</v>
      </c>
      <c r="P425" s="6" t="s">
        <v>26</v>
      </c>
      <c r="Q425" t="s">
        <v>1638</v>
      </c>
      <c r="R425" s="6" t="s">
        <v>28</v>
      </c>
      <c r="S425" s="6" t="s">
        <v>44</v>
      </c>
      <c r="T425" s="14">
        <v>1.3599999999999999E-2</v>
      </c>
      <c r="U425">
        <v>1.36</v>
      </c>
      <c r="V425" t="str">
        <f>IF(fin_table[[#This Row],[Interest Rate(%)]]&gt;4,"high","low")</f>
        <v>low</v>
      </c>
      <c r="W425" s="5">
        <v>26681.654999999999</v>
      </c>
      <c r="X425" s="5">
        <f>fin_table[[#This Row],[Interest Rate]]*fin_table[[#This Row],[Loan Amount]]</f>
        <v>362.87050799999997</v>
      </c>
      <c r="Y425">
        <v>13</v>
      </c>
      <c r="Z425" s="3">
        <v>680</v>
      </c>
      <c r="AA425" s="3" t="str">
        <f t="shared" si="46"/>
        <v>Good</v>
      </c>
      <c r="AB425" s="3" cm="1">
        <f t="array" ref="AB425">_xlfn.IFS(fin_table[[#This Row],[Transaction Status]]="Failed", 1, fin_table[[#This Row],[Transaction Status]]="Completed",0,fin_table[[#This Row],[Transaction Status]]="Pending",2)</f>
        <v>0</v>
      </c>
      <c r="AC425" s="3" t="str">
        <f>IF(fin_table[[#This Row],[Loan Defaulters]]=1,"Default", "Good")</f>
        <v>Good</v>
      </c>
      <c r="AD425" s="3">
        <f t="shared" si="47"/>
        <v>3</v>
      </c>
      <c r="AE425" s="4">
        <v>9257.59</v>
      </c>
      <c r="AF425" s="4" t="str">
        <f>IF(fin_table[[#This Row],[Monthly Income]]&lt;3000, "Low Income", IF(fin_table[[#This Row],[Monthly Income]]&lt;=5000, "Middle Income", "High Income"))</f>
        <v>High Income</v>
      </c>
      <c r="AG425" t="s">
        <v>63</v>
      </c>
      <c r="AH425" t="s">
        <v>3635</v>
      </c>
      <c r="AI425" t="str">
        <f t="shared" si="48"/>
        <v>Low-Risk</v>
      </c>
    </row>
    <row r="426" spans="1:35" x14ac:dyDescent="0.35">
      <c r="A426" t="s">
        <v>1639</v>
      </c>
      <c r="B426" t="s">
        <v>1640</v>
      </c>
      <c r="C426" t="s">
        <v>1641</v>
      </c>
      <c r="D426" s="1">
        <v>44966</v>
      </c>
      <c r="E426" s="1" t="str">
        <f t="shared" si="42"/>
        <v>09</v>
      </c>
      <c r="F426" s="1" t="str">
        <f t="shared" si="43"/>
        <v>Feb</v>
      </c>
      <c r="G426" s="6" t="s">
        <v>23</v>
      </c>
      <c r="H426" s="5">
        <v>537.20000000000005</v>
      </c>
      <c r="I426" s="5" t="str">
        <f>IF(fin_table[[#This Row],[Account Balance]]&lt;20000,"Active", "Not Active")</f>
        <v>Active</v>
      </c>
      <c r="J426" s="5">
        <v>11765.63</v>
      </c>
      <c r="K426" s="5" t="str">
        <f t="shared" si="44"/>
        <v>Medium</v>
      </c>
      <c r="L426" s="6" t="s">
        <v>125</v>
      </c>
      <c r="M426">
        <v>59</v>
      </c>
      <c r="N426" s="6" t="str">
        <f t="shared" si="45"/>
        <v>Older Adults</v>
      </c>
      <c r="O426" s="6" t="s">
        <v>25</v>
      </c>
      <c r="P426" s="6" t="s">
        <v>36</v>
      </c>
      <c r="Q426" t="s">
        <v>300</v>
      </c>
      <c r="R426" s="6" t="s">
        <v>38</v>
      </c>
      <c r="S426" s="6" t="s">
        <v>29</v>
      </c>
      <c r="T426" s="14">
        <v>4.0800000000000003E-2</v>
      </c>
      <c r="U426">
        <v>4.08</v>
      </c>
      <c r="V426" t="str">
        <f>IF(fin_table[[#This Row],[Interest Rate(%)]]&gt;4,"high","low")</f>
        <v>high</v>
      </c>
      <c r="W426" s="5">
        <v>19503.39</v>
      </c>
      <c r="X426" s="5">
        <f>fin_table[[#This Row],[Interest Rate]]*fin_table[[#This Row],[Loan Amount]]</f>
        <v>795.73831200000006</v>
      </c>
      <c r="Y426">
        <v>26</v>
      </c>
      <c r="Z426" s="3">
        <v>822</v>
      </c>
      <c r="AA426" s="3" t="str">
        <f t="shared" si="46"/>
        <v>Excellent</v>
      </c>
      <c r="AB426" s="3" cm="1">
        <f t="array" ref="AB426">_xlfn.IFS(fin_table[[#This Row],[Transaction Status]]="Failed", 1, fin_table[[#This Row],[Transaction Status]]="Completed",0,fin_table[[#This Row],[Transaction Status]]="Pending",2)</f>
        <v>1</v>
      </c>
      <c r="AC426" s="3" t="str">
        <f>IF(fin_table[[#This Row],[Loan Defaulters]]=1,"Default", "Good")</f>
        <v>Default</v>
      </c>
      <c r="AD426" s="3">
        <f t="shared" si="47"/>
        <v>5</v>
      </c>
      <c r="AE426" s="4">
        <v>13197.72</v>
      </c>
      <c r="AF426" s="4" t="str">
        <f>IF(fin_table[[#This Row],[Monthly Income]]&lt;3000, "Low Income", IF(fin_table[[#This Row],[Monthly Income]]&lt;=5000, "Middle Income", "High Income"))</f>
        <v>High Income</v>
      </c>
      <c r="AG426" t="s">
        <v>45</v>
      </c>
      <c r="AH426" t="s">
        <v>3636</v>
      </c>
      <c r="AI426" t="str">
        <f t="shared" si="48"/>
        <v>Low-Risk</v>
      </c>
    </row>
    <row r="427" spans="1:35" x14ac:dyDescent="0.35">
      <c r="A427" t="s">
        <v>1642</v>
      </c>
      <c r="B427" t="s">
        <v>1643</v>
      </c>
      <c r="C427" t="s">
        <v>1644</v>
      </c>
      <c r="D427" s="1">
        <v>44896</v>
      </c>
      <c r="E427" s="1" t="str">
        <f t="shared" si="42"/>
        <v>01</v>
      </c>
      <c r="F427" s="1" t="str">
        <f t="shared" si="43"/>
        <v>Dec</v>
      </c>
      <c r="G427" s="6" t="s">
        <v>34</v>
      </c>
      <c r="H427" s="5">
        <v>3483.65</v>
      </c>
      <c r="I427" s="5" t="str">
        <f>IF(fin_table[[#This Row],[Account Balance]]&lt;20000,"Active", "Not Active")</f>
        <v>Active</v>
      </c>
      <c r="J427" s="5">
        <v>2005.52</v>
      </c>
      <c r="K427" s="5" t="str">
        <f t="shared" si="44"/>
        <v>Low</v>
      </c>
      <c r="L427" s="6" t="s">
        <v>24</v>
      </c>
      <c r="M427">
        <v>62</v>
      </c>
      <c r="N427" s="6" t="str">
        <f t="shared" si="45"/>
        <v>Seniors</v>
      </c>
      <c r="O427" s="6" t="s">
        <v>42</v>
      </c>
      <c r="P427" s="6" t="s">
        <v>50</v>
      </c>
      <c r="Q427" t="s">
        <v>1645</v>
      </c>
      <c r="R427" s="6" t="s">
        <v>28</v>
      </c>
      <c r="S427" s="6" t="s">
        <v>62</v>
      </c>
      <c r="T427" s="14">
        <v>3.4700000000000002E-2</v>
      </c>
      <c r="U427">
        <v>3.47</v>
      </c>
      <c r="V427" t="str">
        <f>IF(fin_table[[#This Row],[Interest Rate(%)]]&gt;4,"high","low")</f>
        <v>low</v>
      </c>
      <c r="W427" s="5">
        <v>26681.654999999999</v>
      </c>
      <c r="X427" s="5">
        <f>fin_table[[#This Row],[Interest Rate]]*fin_table[[#This Row],[Loan Amount]]</f>
        <v>925.85342849999995</v>
      </c>
      <c r="Y427">
        <v>13</v>
      </c>
      <c r="Z427" s="3">
        <v>838</v>
      </c>
      <c r="AA427" s="3" t="str">
        <f t="shared" si="46"/>
        <v>Excellent</v>
      </c>
      <c r="AB427" s="3" cm="1">
        <f t="array" ref="AB427">_xlfn.IFS(fin_table[[#This Row],[Transaction Status]]="Failed", 1, fin_table[[#This Row],[Transaction Status]]="Completed",0,fin_table[[#This Row],[Transaction Status]]="Pending",2)</f>
        <v>2</v>
      </c>
      <c r="AC427" s="3" t="str">
        <f>IF(fin_table[[#This Row],[Loan Defaulters]]=1,"Default", "Good")</f>
        <v>Good</v>
      </c>
      <c r="AD427" s="3">
        <f t="shared" si="47"/>
        <v>5</v>
      </c>
      <c r="AE427" s="4">
        <v>12804.75</v>
      </c>
      <c r="AF427" s="4" t="str">
        <f>IF(fin_table[[#This Row],[Monthly Income]]&lt;3000, "Low Income", IF(fin_table[[#This Row],[Monthly Income]]&lt;=5000, "Middle Income", "High Income"))</f>
        <v>High Income</v>
      </c>
      <c r="AG427" t="s">
        <v>45</v>
      </c>
      <c r="AH427" t="s">
        <v>3635</v>
      </c>
      <c r="AI427" t="str">
        <f t="shared" si="48"/>
        <v>Low-Risk</v>
      </c>
    </row>
    <row r="428" spans="1:35" x14ac:dyDescent="0.35">
      <c r="A428" t="s">
        <v>1646</v>
      </c>
      <c r="B428" t="s">
        <v>1647</v>
      </c>
      <c r="C428" t="s">
        <v>1648</v>
      </c>
      <c r="D428" s="1">
        <v>45028</v>
      </c>
      <c r="E428" s="1" t="str">
        <f t="shared" si="42"/>
        <v>12</v>
      </c>
      <c r="F428" s="1" t="str">
        <f t="shared" si="43"/>
        <v>Apr</v>
      </c>
      <c r="G428" s="6" t="s">
        <v>23</v>
      </c>
      <c r="H428" s="5">
        <v>6365.77</v>
      </c>
      <c r="I428" s="5" t="str">
        <f>IF(fin_table[[#This Row],[Account Balance]]&lt;20000,"Active", "Not Active")</f>
        <v>Not Active</v>
      </c>
      <c r="J428" s="5">
        <v>41504.300000000003</v>
      </c>
      <c r="K428" s="5" t="str">
        <f t="shared" si="44"/>
        <v>Medium</v>
      </c>
      <c r="L428" s="6" t="s">
        <v>125</v>
      </c>
      <c r="M428">
        <v>65</v>
      </c>
      <c r="N428" s="6" t="str">
        <f t="shared" si="45"/>
        <v>Seniors</v>
      </c>
      <c r="O428" s="6" t="s">
        <v>42</v>
      </c>
      <c r="P428" s="6" t="s">
        <v>50</v>
      </c>
      <c r="Q428" t="s">
        <v>1649</v>
      </c>
      <c r="R428" s="6" t="s">
        <v>28</v>
      </c>
      <c r="S428" s="6" t="s">
        <v>29</v>
      </c>
      <c r="T428" s="14">
        <v>3.39E-2</v>
      </c>
      <c r="U428">
        <v>3.39</v>
      </c>
      <c r="V428" t="str">
        <f>IF(fin_table[[#This Row],[Interest Rate(%)]]&gt;4,"high","low")</f>
        <v>low</v>
      </c>
      <c r="W428" s="5">
        <v>43757.88</v>
      </c>
      <c r="X428" s="5">
        <f>fin_table[[#This Row],[Interest Rate]]*fin_table[[#This Row],[Loan Amount]]</f>
        <v>1483.3921319999999</v>
      </c>
      <c r="Y428">
        <v>13</v>
      </c>
      <c r="Z428" s="3">
        <v>382</v>
      </c>
      <c r="AA428" s="3" t="str">
        <f t="shared" si="46"/>
        <v>Poor</v>
      </c>
      <c r="AB428" s="3" cm="1">
        <f t="array" ref="AB428">_xlfn.IFS(fin_table[[#This Row],[Transaction Status]]="Failed", 1, fin_table[[#This Row],[Transaction Status]]="Completed",0,fin_table[[#This Row],[Transaction Status]]="Pending",2)</f>
        <v>1</v>
      </c>
      <c r="AC428" s="3" t="str">
        <f>IF(fin_table[[#This Row],[Loan Defaulters]]=1,"Default", "Good")</f>
        <v>Default</v>
      </c>
      <c r="AD428" s="3">
        <f t="shared" si="47"/>
        <v>1</v>
      </c>
      <c r="AE428" s="4">
        <v>5666.55</v>
      </c>
      <c r="AF428" s="4" t="str">
        <f>IF(fin_table[[#This Row],[Monthly Income]]&lt;3000, "Low Income", IF(fin_table[[#This Row],[Monthly Income]]&lt;=5000, "Middle Income", "High Income"))</f>
        <v>High Income</v>
      </c>
      <c r="AG428" t="s">
        <v>45</v>
      </c>
      <c r="AH428" t="s">
        <v>3636</v>
      </c>
      <c r="AI428" t="str">
        <f t="shared" si="48"/>
        <v>High-Risk</v>
      </c>
    </row>
    <row r="429" spans="1:35" x14ac:dyDescent="0.35">
      <c r="A429" t="s">
        <v>1650</v>
      </c>
      <c r="B429" t="s">
        <v>1651</v>
      </c>
      <c r="C429" t="s">
        <v>1652</v>
      </c>
      <c r="D429" s="1">
        <v>44587</v>
      </c>
      <c r="E429" s="1" t="str">
        <f t="shared" si="42"/>
        <v>26</v>
      </c>
      <c r="F429" s="1" t="str">
        <f t="shared" si="43"/>
        <v>Jan</v>
      </c>
      <c r="G429" s="6" t="s">
        <v>34</v>
      </c>
      <c r="H429" s="5">
        <v>783.39</v>
      </c>
      <c r="I429" s="5" t="str">
        <f>IF(fin_table[[#This Row],[Account Balance]]&lt;20000,"Active", "Not Active")</f>
        <v>Active</v>
      </c>
      <c r="J429" s="5">
        <v>18914.189999999999</v>
      </c>
      <c r="K429" s="5" t="str">
        <f t="shared" si="44"/>
        <v>Medium</v>
      </c>
      <c r="L429" s="6" t="s">
        <v>24</v>
      </c>
      <c r="M429">
        <v>31</v>
      </c>
      <c r="N429" s="6" t="str">
        <f t="shared" si="45"/>
        <v>Adults</v>
      </c>
      <c r="O429" s="6" t="s">
        <v>25</v>
      </c>
      <c r="P429" s="6" t="s">
        <v>50</v>
      </c>
      <c r="Q429" t="s">
        <v>520</v>
      </c>
      <c r="R429" s="6" t="s">
        <v>52</v>
      </c>
      <c r="S429" s="6" t="s">
        <v>29</v>
      </c>
      <c r="T429" s="14">
        <v>2.1700000000000001E-2</v>
      </c>
      <c r="U429">
        <v>2.17</v>
      </c>
      <c r="V429" t="str">
        <f>IF(fin_table[[#This Row],[Interest Rate(%)]]&gt;4,"high","low")</f>
        <v>low</v>
      </c>
      <c r="W429" s="5">
        <v>26681.654999999999</v>
      </c>
      <c r="X429" s="5">
        <f>fin_table[[#This Row],[Interest Rate]]*fin_table[[#This Row],[Loan Amount]]</f>
        <v>578.99191350000001</v>
      </c>
      <c r="Y429">
        <v>13</v>
      </c>
      <c r="Z429" s="3">
        <v>849</v>
      </c>
      <c r="AA429" s="3" t="str">
        <f t="shared" si="46"/>
        <v>Excellent</v>
      </c>
      <c r="AB429" s="3" cm="1">
        <f t="array" ref="AB429">_xlfn.IFS(fin_table[[#This Row],[Transaction Status]]="Failed", 1, fin_table[[#This Row],[Transaction Status]]="Completed",0,fin_table[[#This Row],[Transaction Status]]="Pending",2)</f>
        <v>1</v>
      </c>
      <c r="AC429" s="3" t="str">
        <f>IF(fin_table[[#This Row],[Loan Defaulters]]=1,"Default", "Good")</f>
        <v>Default</v>
      </c>
      <c r="AD429" s="3">
        <f t="shared" si="47"/>
        <v>5</v>
      </c>
      <c r="AE429" s="4">
        <v>9120.59</v>
      </c>
      <c r="AF429" s="4" t="str">
        <f>IF(fin_table[[#This Row],[Monthly Income]]&lt;3000, "Low Income", IF(fin_table[[#This Row],[Monthly Income]]&lt;=5000, "Middle Income", "High Income"))</f>
        <v>High Income</v>
      </c>
      <c r="AG429" t="s">
        <v>63</v>
      </c>
      <c r="AH429" t="s">
        <v>3635</v>
      </c>
      <c r="AI429" t="str">
        <f t="shared" si="48"/>
        <v>Low-Risk</v>
      </c>
    </row>
    <row r="430" spans="1:35" x14ac:dyDescent="0.35">
      <c r="A430" t="s">
        <v>1653</v>
      </c>
      <c r="B430" t="s">
        <v>1654</v>
      </c>
      <c r="C430" t="s">
        <v>1655</v>
      </c>
      <c r="D430" s="1">
        <v>44654</v>
      </c>
      <c r="E430" s="1" t="str">
        <f t="shared" si="42"/>
        <v>03</v>
      </c>
      <c r="F430" s="1" t="str">
        <f t="shared" si="43"/>
        <v>Apr</v>
      </c>
      <c r="G430" s="6" t="s">
        <v>71</v>
      </c>
      <c r="H430" s="5">
        <v>156.09</v>
      </c>
      <c r="I430" s="5" t="str">
        <f>IF(fin_table[[#This Row],[Account Balance]]&lt;20000,"Active", "Not Active")</f>
        <v>Active</v>
      </c>
      <c r="J430" s="5">
        <v>18331.14</v>
      </c>
      <c r="K430" s="5" t="str">
        <f t="shared" si="44"/>
        <v>Medium</v>
      </c>
      <c r="L430" s="6" t="s">
        <v>35</v>
      </c>
      <c r="M430">
        <v>28</v>
      </c>
      <c r="N430" s="6" t="str">
        <f t="shared" si="45"/>
        <v>Adults</v>
      </c>
      <c r="O430" s="6" t="s">
        <v>25</v>
      </c>
      <c r="P430" s="6" t="s">
        <v>50</v>
      </c>
      <c r="Q430" t="s">
        <v>1656</v>
      </c>
      <c r="R430" s="6" t="s">
        <v>28</v>
      </c>
      <c r="S430" s="6" t="s">
        <v>44</v>
      </c>
      <c r="T430" s="14">
        <v>3.7400000000000003E-2</v>
      </c>
      <c r="U430">
        <v>3.74</v>
      </c>
      <c r="V430" t="str">
        <f>IF(fin_table[[#This Row],[Interest Rate(%)]]&gt;4,"high","low")</f>
        <v>low</v>
      </c>
      <c r="W430" s="5">
        <v>47356.62</v>
      </c>
      <c r="X430" s="5">
        <f>fin_table[[#This Row],[Interest Rate]]*fin_table[[#This Row],[Loan Amount]]</f>
        <v>1771.1375880000003</v>
      </c>
      <c r="Y430">
        <v>7</v>
      </c>
      <c r="Z430" s="3">
        <v>744</v>
      </c>
      <c r="AA430" s="3" t="str">
        <f t="shared" si="46"/>
        <v>Very Good</v>
      </c>
      <c r="AB430" s="3" cm="1">
        <f t="array" ref="AB430">_xlfn.IFS(fin_table[[#This Row],[Transaction Status]]="Failed", 1, fin_table[[#This Row],[Transaction Status]]="Completed",0,fin_table[[#This Row],[Transaction Status]]="Pending",2)</f>
        <v>0</v>
      </c>
      <c r="AC430" s="3" t="str">
        <f>IF(fin_table[[#This Row],[Loan Defaulters]]=1,"Default", "Good")</f>
        <v>Good</v>
      </c>
      <c r="AD430" s="3">
        <f t="shared" si="47"/>
        <v>4</v>
      </c>
      <c r="AE430" s="4">
        <v>3081.83</v>
      </c>
      <c r="AF430" s="4" t="str">
        <f>IF(fin_table[[#This Row],[Monthly Income]]&lt;3000, "Low Income", IF(fin_table[[#This Row],[Monthly Income]]&lt;=5000, "Middle Income", "High Income"))</f>
        <v>Middle Income</v>
      </c>
      <c r="AG430" t="s">
        <v>45</v>
      </c>
      <c r="AH430" t="s">
        <v>3636</v>
      </c>
      <c r="AI430" t="str">
        <f t="shared" si="48"/>
        <v>Low-Risk</v>
      </c>
    </row>
    <row r="431" spans="1:35" x14ac:dyDescent="0.35">
      <c r="A431" t="s">
        <v>1657</v>
      </c>
      <c r="B431" t="s">
        <v>1658</v>
      </c>
      <c r="C431" t="s">
        <v>1659</v>
      </c>
      <c r="D431" s="1">
        <v>45133</v>
      </c>
      <c r="E431" s="1" t="str">
        <f t="shared" si="42"/>
        <v>26</v>
      </c>
      <c r="F431" s="1" t="str">
        <f t="shared" si="43"/>
        <v>Jul</v>
      </c>
      <c r="G431" s="6" t="s">
        <v>71</v>
      </c>
      <c r="H431" s="5">
        <v>9377.2000000000007</v>
      </c>
      <c r="I431" s="5" t="str">
        <f>IF(fin_table[[#This Row],[Account Balance]]&lt;20000,"Active", "Not Active")</f>
        <v>Active</v>
      </c>
      <c r="J431" s="5">
        <v>15821.47</v>
      </c>
      <c r="K431" s="5" t="str">
        <f t="shared" si="44"/>
        <v>Medium</v>
      </c>
      <c r="L431" s="6" t="s">
        <v>100</v>
      </c>
      <c r="M431">
        <v>59</v>
      </c>
      <c r="N431" s="6" t="str">
        <f t="shared" si="45"/>
        <v>Older Adults</v>
      </c>
      <c r="O431" s="6" t="s">
        <v>25</v>
      </c>
      <c r="P431" s="6" t="s">
        <v>36</v>
      </c>
      <c r="Q431" t="s">
        <v>1660</v>
      </c>
      <c r="R431" s="6" t="s">
        <v>52</v>
      </c>
      <c r="S431" s="6" t="s">
        <v>62</v>
      </c>
      <c r="T431" s="14">
        <v>4.1799999999999997E-2</v>
      </c>
      <c r="U431">
        <v>4.18</v>
      </c>
      <c r="V431" t="str">
        <f>IF(fin_table[[#This Row],[Interest Rate(%)]]&gt;4,"high","low")</f>
        <v>high</v>
      </c>
      <c r="W431" s="5">
        <v>31960.34</v>
      </c>
      <c r="X431" s="5">
        <f>fin_table[[#This Row],[Interest Rate]]*fin_table[[#This Row],[Loan Amount]]</f>
        <v>1335.9422119999999</v>
      </c>
      <c r="Y431">
        <v>13</v>
      </c>
      <c r="Z431" s="3">
        <v>386</v>
      </c>
      <c r="AA431" s="3" t="str">
        <f t="shared" si="46"/>
        <v>Poor</v>
      </c>
      <c r="AB431" s="3" cm="1">
        <f t="array" ref="AB431">_xlfn.IFS(fin_table[[#This Row],[Transaction Status]]="Failed", 1, fin_table[[#This Row],[Transaction Status]]="Completed",0,fin_table[[#This Row],[Transaction Status]]="Pending",2)</f>
        <v>2</v>
      </c>
      <c r="AC431" s="3" t="str">
        <f>IF(fin_table[[#This Row],[Loan Defaulters]]=1,"Default", "Good")</f>
        <v>Good</v>
      </c>
      <c r="AD431" s="3">
        <f t="shared" si="47"/>
        <v>1</v>
      </c>
      <c r="AE431" s="4">
        <v>13898.27</v>
      </c>
      <c r="AF431" s="4" t="str">
        <f>IF(fin_table[[#This Row],[Monthly Income]]&lt;3000, "Low Income", IF(fin_table[[#This Row],[Monthly Income]]&lt;=5000, "Middle Income", "High Income"))</f>
        <v>High Income</v>
      </c>
      <c r="AG431" t="s">
        <v>30</v>
      </c>
      <c r="AH431" t="s">
        <v>3636</v>
      </c>
      <c r="AI431" t="str">
        <f t="shared" si="48"/>
        <v>Low-Risk</v>
      </c>
    </row>
    <row r="432" spans="1:35" x14ac:dyDescent="0.35">
      <c r="A432" t="s">
        <v>1661</v>
      </c>
      <c r="B432" t="s">
        <v>1662</v>
      </c>
      <c r="C432" t="s">
        <v>1663</v>
      </c>
      <c r="D432" s="1">
        <v>44873</v>
      </c>
      <c r="E432" s="1" t="str">
        <f t="shared" si="42"/>
        <v>08</v>
      </c>
      <c r="F432" s="1" t="str">
        <f t="shared" si="43"/>
        <v>Nov</v>
      </c>
      <c r="G432" s="6" t="s">
        <v>71</v>
      </c>
      <c r="H432" s="5">
        <v>8237.07</v>
      </c>
      <c r="I432" s="5" t="str">
        <f>IF(fin_table[[#This Row],[Account Balance]]&lt;20000,"Active", "Not Active")</f>
        <v>Not Active</v>
      </c>
      <c r="J432" s="5">
        <v>48793.29</v>
      </c>
      <c r="K432" s="5" t="str">
        <f t="shared" si="44"/>
        <v>Medium</v>
      </c>
      <c r="L432" s="6" t="s">
        <v>35</v>
      </c>
      <c r="M432">
        <v>55</v>
      </c>
      <c r="N432" s="6" t="str">
        <f t="shared" si="45"/>
        <v>Older Adults</v>
      </c>
      <c r="O432" s="6" t="s">
        <v>25</v>
      </c>
      <c r="P432" s="6" t="s">
        <v>26</v>
      </c>
      <c r="Q432" t="s">
        <v>1664</v>
      </c>
      <c r="R432" s="6" t="s">
        <v>28</v>
      </c>
      <c r="S432" s="6" t="s">
        <v>44</v>
      </c>
      <c r="T432" s="14">
        <v>1.4500000000000001E-2</v>
      </c>
      <c r="U432">
        <v>1.45</v>
      </c>
      <c r="V432" t="str">
        <f>IF(fin_table[[#This Row],[Interest Rate(%)]]&gt;4,"high","low")</f>
        <v>low</v>
      </c>
      <c r="W432" s="5">
        <v>49645.69</v>
      </c>
      <c r="X432" s="5">
        <f>fin_table[[#This Row],[Interest Rate]]*fin_table[[#This Row],[Loan Amount]]</f>
        <v>719.86250500000006</v>
      </c>
      <c r="Y432">
        <v>7</v>
      </c>
      <c r="Z432" s="3">
        <v>686</v>
      </c>
      <c r="AA432" s="3" t="str">
        <f t="shared" si="46"/>
        <v>Good</v>
      </c>
      <c r="AB432" s="3" cm="1">
        <f t="array" ref="AB432">_xlfn.IFS(fin_table[[#This Row],[Transaction Status]]="Failed", 1, fin_table[[#This Row],[Transaction Status]]="Completed",0,fin_table[[#This Row],[Transaction Status]]="Pending",2)</f>
        <v>0</v>
      </c>
      <c r="AC432" s="3" t="str">
        <f>IF(fin_table[[#This Row],[Loan Defaulters]]=1,"Default", "Good")</f>
        <v>Good</v>
      </c>
      <c r="AD432" s="3">
        <f t="shared" si="47"/>
        <v>3</v>
      </c>
      <c r="AE432" s="4">
        <v>7255.42</v>
      </c>
      <c r="AF432" s="4" t="str">
        <f>IF(fin_table[[#This Row],[Monthly Income]]&lt;3000, "Low Income", IF(fin_table[[#This Row],[Monthly Income]]&lt;=5000, "Middle Income", "High Income"))</f>
        <v>High Income</v>
      </c>
      <c r="AG432" t="s">
        <v>63</v>
      </c>
      <c r="AH432" t="s">
        <v>3636</v>
      </c>
      <c r="AI432" t="str">
        <f t="shared" si="48"/>
        <v>Low-Risk</v>
      </c>
    </row>
    <row r="433" spans="1:35" x14ac:dyDescent="0.35">
      <c r="A433" t="s">
        <v>1665</v>
      </c>
      <c r="B433" t="s">
        <v>1666</v>
      </c>
      <c r="C433" t="s">
        <v>1667</v>
      </c>
      <c r="D433" s="1">
        <v>44891</v>
      </c>
      <c r="E433" s="1" t="str">
        <f t="shared" si="42"/>
        <v>26</v>
      </c>
      <c r="F433" s="1" t="str">
        <f t="shared" si="43"/>
        <v>Nov</v>
      </c>
      <c r="G433" s="6" t="s">
        <v>34</v>
      </c>
      <c r="H433" s="5">
        <v>8110.91</v>
      </c>
      <c r="I433" s="5" t="str">
        <f>IF(fin_table[[#This Row],[Account Balance]]&lt;20000,"Active", "Not Active")</f>
        <v>Active</v>
      </c>
      <c r="J433" s="5">
        <v>9335.66</v>
      </c>
      <c r="K433" s="5" t="str">
        <f t="shared" si="44"/>
        <v>Low</v>
      </c>
      <c r="L433" s="6" t="s">
        <v>49</v>
      </c>
      <c r="M433">
        <v>21</v>
      </c>
      <c r="N433" s="6" t="str">
        <f t="shared" si="45"/>
        <v>Young Adults</v>
      </c>
      <c r="O433" s="6" t="s">
        <v>25</v>
      </c>
      <c r="P433" s="6" t="s">
        <v>26</v>
      </c>
      <c r="Q433" t="s">
        <v>1668</v>
      </c>
      <c r="R433" s="6" t="s">
        <v>52</v>
      </c>
      <c r="S433" s="6" t="s">
        <v>44</v>
      </c>
      <c r="T433" s="14">
        <v>3.1300000000000001E-2</v>
      </c>
      <c r="U433">
        <v>3.13</v>
      </c>
      <c r="V433" t="str">
        <f>IF(fin_table[[#This Row],[Interest Rate(%)]]&gt;4,"high","low")</f>
        <v>low</v>
      </c>
      <c r="W433" s="5">
        <v>26681.654999999999</v>
      </c>
      <c r="X433" s="5">
        <f>fin_table[[#This Row],[Interest Rate]]*fin_table[[#This Row],[Loan Amount]]</f>
        <v>835.13580149999996</v>
      </c>
      <c r="Y433">
        <v>13</v>
      </c>
      <c r="Z433" s="3">
        <v>697</v>
      </c>
      <c r="AA433" s="3" t="str">
        <f t="shared" si="46"/>
        <v>Good</v>
      </c>
      <c r="AB433" s="3" cm="1">
        <f t="array" ref="AB433">_xlfn.IFS(fin_table[[#This Row],[Transaction Status]]="Failed", 1, fin_table[[#This Row],[Transaction Status]]="Completed",0,fin_table[[#This Row],[Transaction Status]]="Pending",2)</f>
        <v>0</v>
      </c>
      <c r="AC433" s="3" t="str">
        <f>IF(fin_table[[#This Row],[Loan Defaulters]]=1,"Default", "Good")</f>
        <v>Good</v>
      </c>
      <c r="AD433" s="3">
        <f t="shared" si="47"/>
        <v>3</v>
      </c>
      <c r="AE433" s="4">
        <v>7117.79</v>
      </c>
      <c r="AF433" s="4" t="str">
        <f>IF(fin_table[[#This Row],[Monthly Income]]&lt;3000, "Low Income", IF(fin_table[[#This Row],[Monthly Income]]&lt;=5000, "Middle Income", "High Income"))</f>
        <v>High Income</v>
      </c>
      <c r="AG433" t="s">
        <v>45</v>
      </c>
      <c r="AH433" t="s">
        <v>3635</v>
      </c>
      <c r="AI433" t="str">
        <f t="shared" si="48"/>
        <v>Low-Risk</v>
      </c>
    </row>
    <row r="434" spans="1:35" x14ac:dyDescent="0.35">
      <c r="A434" t="s">
        <v>1669</v>
      </c>
      <c r="B434" t="s">
        <v>1670</v>
      </c>
      <c r="C434" t="s">
        <v>1671</v>
      </c>
      <c r="D434" s="1">
        <v>44992</v>
      </c>
      <c r="E434" s="1" t="str">
        <f t="shared" si="42"/>
        <v>07</v>
      </c>
      <c r="F434" s="1" t="str">
        <f t="shared" si="43"/>
        <v>Mar</v>
      </c>
      <c r="G434" s="6" t="s">
        <v>56</v>
      </c>
      <c r="H434" s="5">
        <v>8855.7999999999993</v>
      </c>
      <c r="I434" s="5" t="str">
        <f>IF(fin_table[[#This Row],[Account Balance]]&lt;20000,"Active", "Not Active")</f>
        <v>Not Active</v>
      </c>
      <c r="J434" s="5">
        <v>45013.67</v>
      </c>
      <c r="K434" s="5" t="str">
        <f t="shared" si="44"/>
        <v>Medium</v>
      </c>
      <c r="L434" s="6" t="s">
        <v>125</v>
      </c>
      <c r="M434">
        <v>50</v>
      </c>
      <c r="N434" s="6" t="str">
        <f t="shared" si="45"/>
        <v>Older Adults</v>
      </c>
      <c r="O434" s="6" t="s">
        <v>42</v>
      </c>
      <c r="P434" s="6" t="s">
        <v>50</v>
      </c>
      <c r="Q434" t="s">
        <v>1672</v>
      </c>
      <c r="R434" s="6" t="s">
        <v>52</v>
      </c>
      <c r="S434" s="6" t="s">
        <v>62</v>
      </c>
      <c r="T434" s="14">
        <v>1.41E-2</v>
      </c>
      <c r="U434">
        <v>1.41</v>
      </c>
      <c r="V434" t="str">
        <f>IF(fin_table[[#This Row],[Interest Rate(%)]]&gt;4,"high","low")</f>
        <v>low</v>
      </c>
      <c r="W434" s="5">
        <v>10695.3</v>
      </c>
      <c r="X434" s="5">
        <f>fin_table[[#This Row],[Interest Rate]]*fin_table[[#This Row],[Loan Amount]]</f>
        <v>150.80372999999997</v>
      </c>
      <c r="Y434">
        <v>13</v>
      </c>
      <c r="Z434" s="3">
        <v>585</v>
      </c>
      <c r="AA434" s="3" t="str">
        <f t="shared" si="46"/>
        <v>Fair</v>
      </c>
      <c r="AB434" s="3" cm="1">
        <f t="array" ref="AB434">_xlfn.IFS(fin_table[[#This Row],[Transaction Status]]="Failed", 1, fin_table[[#This Row],[Transaction Status]]="Completed",0,fin_table[[#This Row],[Transaction Status]]="Pending",2)</f>
        <v>2</v>
      </c>
      <c r="AC434" s="3" t="str">
        <f>IF(fin_table[[#This Row],[Loan Defaulters]]=1,"Default", "Good")</f>
        <v>Good</v>
      </c>
      <c r="AD434" s="3">
        <f t="shared" si="47"/>
        <v>2</v>
      </c>
      <c r="AE434" s="4">
        <v>5935.82</v>
      </c>
      <c r="AF434" s="4" t="str">
        <f>IF(fin_table[[#This Row],[Monthly Income]]&lt;3000, "Low Income", IF(fin_table[[#This Row],[Monthly Income]]&lt;=5000, "Middle Income", "High Income"))</f>
        <v>High Income</v>
      </c>
      <c r="AG434" t="s">
        <v>45</v>
      </c>
      <c r="AH434" t="s">
        <v>3636</v>
      </c>
      <c r="AI434" t="str">
        <f t="shared" si="48"/>
        <v>Low-Risk</v>
      </c>
    </row>
    <row r="435" spans="1:35" x14ac:dyDescent="0.35">
      <c r="A435" t="s">
        <v>1673</v>
      </c>
      <c r="B435" t="s">
        <v>1674</v>
      </c>
      <c r="C435" t="s">
        <v>1675</v>
      </c>
      <c r="D435" s="1">
        <v>44619</v>
      </c>
      <c r="E435" s="1" t="str">
        <f t="shared" si="42"/>
        <v>27</v>
      </c>
      <c r="F435" s="1" t="str">
        <f t="shared" si="43"/>
        <v>Feb</v>
      </c>
      <c r="G435" s="6" t="s">
        <v>34</v>
      </c>
      <c r="H435" s="5">
        <v>7030.34</v>
      </c>
      <c r="I435" s="5" t="str">
        <f>IF(fin_table[[#This Row],[Account Balance]]&lt;20000,"Active", "Not Active")</f>
        <v>Not Active</v>
      </c>
      <c r="J435" s="5">
        <v>39063.360000000001</v>
      </c>
      <c r="K435" s="5" t="str">
        <f t="shared" si="44"/>
        <v>Medium</v>
      </c>
      <c r="L435" s="6" t="s">
        <v>49</v>
      </c>
      <c r="M435">
        <v>24</v>
      </c>
      <c r="N435" s="6" t="str">
        <f t="shared" si="45"/>
        <v>Young Adults</v>
      </c>
      <c r="O435" s="6" t="s">
        <v>42</v>
      </c>
      <c r="P435" s="6" t="s">
        <v>50</v>
      </c>
      <c r="Q435" t="s">
        <v>1286</v>
      </c>
      <c r="R435" s="6" t="s">
        <v>28</v>
      </c>
      <c r="S435" s="6" t="s">
        <v>44</v>
      </c>
      <c r="T435" s="14">
        <v>4.4900000000000002E-2</v>
      </c>
      <c r="U435">
        <v>4.49</v>
      </c>
      <c r="V435" t="str">
        <f>IF(fin_table[[#This Row],[Interest Rate(%)]]&gt;4,"high","low")</f>
        <v>high</v>
      </c>
      <c r="W435" s="5">
        <v>26681.654999999999</v>
      </c>
      <c r="X435" s="5">
        <f>fin_table[[#This Row],[Interest Rate]]*fin_table[[#This Row],[Loan Amount]]</f>
        <v>1198.0063095</v>
      </c>
      <c r="Y435">
        <v>18</v>
      </c>
      <c r="Z435" s="3">
        <v>668</v>
      </c>
      <c r="AA435" s="3" t="str">
        <f t="shared" si="46"/>
        <v>Fair</v>
      </c>
      <c r="AB435" s="3" cm="1">
        <f t="array" ref="AB435">_xlfn.IFS(fin_table[[#This Row],[Transaction Status]]="Failed", 1, fin_table[[#This Row],[Transaction Status]]="Completed",0,fin_table[[#This Row],[Transaction Status]]="Pending",2)</f>
        <v>0</v>
      </c>
      <c r="AC435" s="3" t="str">
        <f>IF(fin_table[[#This Row],[Loan Defaulters]]=1,"Default", "Good")</f>
        <v>Good</v>
      </c>
      <c r="AD435" s="3">
        <f t="shared" si="47"/>
        <v>2</v>
      </c>
      <c r="AE435" s="4">
        <v>7988.63</v>
      </c>
      <c r="AF435" s="4" t="str">
        <f>IF(fin_table[[#This Row],[Monthly Income]]&lt;3000, "Low Income", IF(fin_table[[#This Row],[Monthly Income]]&lt;=5000, "Middle Income", "High Income"))</f>
        <v>High Income</v>
      </c>
      <c r="AG435" t="s">
        <v>63</v>
      </c>
      <c r="AH435" t="s">
        <v>3635</v>
      </c>
      <c r="AI435" t="str">
        <f t="shared" si="48"/>
        <v>Low-Risk</v>
      </c>
    </row>
    <row r="436" spans="1:35" x14ac:dyDescent="0.35">
      <c r="A436" t="s">
        <v>1676</v>
      </c>
      <c r="B436" t="s">
        <v>1677</v>
      </c>
      <c r="C436" t="s">
        <v>1678</v>
      </c>
      <c r="D436" s="1">
        <v>44722</v>
      </c>
      <c r="E436" s="1" t="str">
        <f t="shared" si="42"/>
        <v>10</v>
      </c>
      <c r="F436" s="1" t="str">
        <f t="shared" si="43"/>
        <v>Jun</v>
      </c>
      <c r="G436" s="6" t="s">
        <v>56</v>
      </c>
      <c r="H436" s="5">
        <v>1133.5999999999999</v>
      </c>
      <c r="I436" s="5" t="str">
        <f>IF(fin_table[[#This Row],[Account Balance]]&lt;20000,"Active", "Not Active")</f>
        <v>Active</v>
      </c>
      <c r="J436" s="5">
        <v>4747.5200000000004</v>
      </c>
      <c r="K436" s="5" t="str">
        <f t="shared" si="44"/>
        <v>Low</v>
      </c>
      <c r="L436" s="6" t="s">
        <v>125</v>
      </c>
      <c r="M436">
        <v>58</v>
      </c>
      <c r="N436" s="6" t="str">
        <f t="shared" si="45"/>
        <v>Older Adults</v>
      </c>
      <c r="O436" s="6" t="s">
        <v>42</v>
      </c>
      <c r="P436" s="6" t="s">
        <v>50</v>
      </c>
      <c r="Q436" t="s">
        <v>1679</v>
      </c>
      <c r="R436" s="6" t="s">
        <v>28</v>
      </c>
      <c r="S436" s="6" t="s">
        <v>62</v>
      </c>
      <c r="T436" s="14">
        <v>3.0300000000000001E-2</v>
      </c>
      <c r="U436">
        <v>3.03</v>
      </c>
      <c r="V436" t="str">
        <f>IF(fin_table[[#This Row],[Interest Rate(%)]]&gt;4,"high","low")</f>
        <v>low</v>
      </c>
      <c r="W436" s="5">
        <v>26681.654999999999</v>
      </c>
      <c r="X436" s="5">
        <f>fin_table[[#This Row],[Interest Rate]]*fin_table[[#This Row],[Loan Amount]]</f>
        <v>808.45414649999998</v>
      </c>
      <c r="Y436">
        <v>13</v>
      </c>
      <c r="Z436" s="3">
        <v>721</v>
      </c>
      <c r="AA436" s="3" t="str">
        <f t="shared" si="46"/>
        <v>Good</v>
      </c>
      <c r="AB436" s="3" cm="1">
        <f t="array" ref="AB436">_xlfn.IFS(fin_table[[#This Row],[Transaction Status]]="Failed", 1, fin_table[[#This Row],[Transaction Status]]="Completed",0,fin_table[[#This Row],[Transaction Status]]="Pending",2)</f>
        <v>2</v>
      </c>
      <c r="AC436" s="3" t="str">
        <f>IF(fin_table[[#This Row],[Loan Defaulters]]=1,"Default", "Good")</f>
        <v>Good</v>
      </c>
      <c r="AD436" s="3">
        <f t="shared" si="47"/>
        <v>3</v>
      </c>
      <c r="AE436" s="4">
        <v>5272.87</v>
      </c>
      <c r="AF436" s="4" t="str">
        <f>IF(fin_table[[#This Row],[Monthly Income]]&lt;3000, "Low Income", IF(fin_table[[#This Row],[Monthly Income]]&lt;=5000, "Middle Income", "High Income"))</f>
        <v>High Income</v>
      </c>
      <c r="AG436" t="s">
        <v>63</v>
      </c>
      <c r="AH436" t="s">
        <v>3635</v>
      </c>
      <c r="AI436" t="str">
        <f t="shared" si="48"/>
        <v>Low-Risk</v>
      </c>
    </row>
    <row r="437" spans="1:35" x14ac:dyDescent="0.35">
      <c r="A437" t="s">
        <v>1680</v>
      </c>
      <c r="B437" t="s">
        <v>1681</v>
      </c>
      <c r="C437" t="s">
        <v>1682</v>
      </c>
      <c r="D437" s="1">
        <v>44829</v>
      </c>
      <c r="E437" s="1" t="str">
        <f t="shared" si="42"/>
        <v>25</v>
      </c>
      <c r="F437" s="1" t="str">
        <f t="shared" si="43"/>
        <v>Sep</v>
      </c>
      <c r="G437" s="6" t="s">
        <v>34</v>
      </c>
      <c r="H437" s="5">
        <v>4051.09</v>
      </c>
      <c r="I437" s="5" t="str">
        <f>IF(fin_table[[#This Row],[Account Balance]]&lt;20000,"Active", "Not Active")</f>
        <v>Not Active</v>
      </c>
      <c r="J437" s="5">
        <v>49349.73</v>
      </c>
      <c r="K437" s="5" t="str">
        <f t="shared" si="44"/>
        <v>Medium</v>
      </c>
      <c r="L437" s="6" t="s">
        <v>35</v>
      </c>
      <c r="M437">
        <v>25</v>
      </c>
      <c r="N437" s="6" t="str">
        <f t="shared" si="45"/>
        <v>Young Adults</v>
      </c>
      <c r="O437" s="6" t="s">
        <v>42</v>
      </c>
      <c r="P437" s="6" t="s">
        <v>36</v>
      </c>
      <c r="Q437" t="s">
        <v>1683</v>
      </c>
      <c r="R437" s="6" t="s">
        <v>38</v>
      </c>
      <c r="S437" s="6" t="s">
        <v>62</v>
      </c>
      <c r="T437" s="14">
        <v>4.2299999999999997E-2</v>
      </c>
      <c r="U437">
        <v>4.2300000000000004</v>
      </c>
      <c r="V437" t="str">
        <f>IF(fin_table[[#This Row],[Interest Rate(%)]]&gt;4,"high","low")</f>
        <v>high</v>
      </c>
      <c r="W437" s="5">
        <v>25045.64</v>
      </c>
      <c r="X437" s="5">
        <f>fin_table[[#This Row],[Interest Rate]]*fin_table[[#This Row],[Loan Amount]]</f>
        <v>1059.430572</v>
      </c>
      <c r="Y437">
        <v>18</v>
      </c>
      <c r="Z437" s="3">
        <v>742</v>
      </c>
      <c r="AA437" s="3" t="str">
        <f t="shared" si="46"/>
        <v>Very Good</v>
      </c>
      <c r="AB437" s="3" cm="1">
        <f t="array" ref="AB437">_xlfn.IFS(fin_table[[#This Row],[Transaction Status]]="Failed", 1, fin_table[[#This Row],[Transaction Status]]="Completed",0,fin_table[[#This Row],[Transaction Status]]="Pending",2)</f>
        <v>2</v>
      </c>
      <c r="AC437" s="3" t="str">
        <f>IF(fin_table[[#This Row],[Loan Defaulters]]=1,"Default", "Good")</f>
        <v>Good</v>
      </c>
      <c r="AD437" s="3">
        <f t="shared" si="47"/>
        <v>4</v>
      </c>
      <c r="AE437" s="4">
        <v>6873.08</v>
      </c>
      <c r="AF437" s="4" t="str">
        <f>IF(fin_table[[#This Row],[Monthly Income]]&lt;3000, "Low Income", IF(fin_table[[#This Row],[Monthly Income]]&lt;=5000, "Middle Income", "High Income"))</f>
        <v>High Income</v>
      </c>
      <c r="AG437" t="s">
        <v>30</v>
      </c>
      <c r="AH437" t="s">
        <v>3636</v>
      </c>
      <c r="AI437" t="str">
        <f t="shared" si="48"/>
        <v>Low-Risk</v>
      </c>
    </row>
    <row r="438" spans="1:35" x14ac:dyDescent="0.35">
      <c r="A438" t="s">
        <v>1684</v>
      </c>
      <c r="B438" t="s">
        <v>1685</v>
      </c>
      <c r="C438" t="s">
        <v>1686</v>
      </c>
      <c r="D438" s="1">
        <v>44626</v>
      </c>
      <c r="E438" s="1" t="str">
        <f t="shared" si="42"/>
        <v>06</v>
      </c>
      <c r="F438" s="1" t="str">
        <f t="shared" si="43"/>
        <v>Mar</v>
      </c>
      <c r="G438" s="6" t="s">
        <v>34</v>
      </c>
      <c r="H438" s="5">
        <v>7259.18</v>
      </c>
      <c r="I438" s="5" t="str">
        <f>IF(fin_table[[#This Row],[Account Balance]]&lt;20000,"Active", "Not Active")</f>
        <v>Active</v>
      </c>
      <c r="J438" s="5">
        <v>14296.93</v>
      </c>
      <c r="K438" s="5" t="str">
        <f t="shared" si="44"/>
        <v>Medium</v>
      </c>
      <c r="L438" s="6" t="s">
        <v>24</v>
      </c>
      <c r="M438">
        <v>54</v>
      </c>
      <c r="N438" s="6" t="str">
        <f t="shared" si="45"/>
        <v>Older Adults</v>
      </c>
      <c r="O438" s="6" t="s">
        <v>25</v>
      </c>
      <c r="P438" s="6" t="s">
        <v>36</v>
      </c>
      <c r="Q438" t="s">
        <v>844</v>
      </c>
      <c r="R438" s="6" t="s">
        <v>38</v>
      </c>
      <c r="S438" s="6" t="s">
        <v>44</v>
      </c>
      <c r="T438" s="14">
        <v>2.47E-2</v>
      </c>
      <c r="U438">
        <v>2.4700000000000002</v>
      </c>
      <c r="V438" t="str">
        <f>IF(fin_table[[#This Row],[Interest Rate(%)]]&gt;4,"high","low")</f>
        <v>low</v>
      </c>
      <c r="W438" s="5">
        <v>37133.199999999997</v>
      </c>
      <c r="X438" s="5">
        <f>fin_table[[#This Row],[Interest Rate]]*fin_table[[#This Row],[Loan Amount]]</f>
        <v>917.19003999999995</v>
      </c>
      <c r="Y438">
        <v>14</v>
      </c>
      <c r="Z438" s="3">
        <v>819</v>
      </c>
      <c r="AA438" s="3" t="str">
        <f t="shared" si="46"/>
        <v>Excellent</v>
      </c>
      <c r="AB438" s="3" cm="1">
        <f t="array" ref="AB438">_xlfn.IFS(fin_table[[#This Row],[Transaction Status]]="Failed", 1, fin_table[[#This Row],[Transaction Status]]="Completed",0,fin_table[[#This Row],[Transaction Status]]="Pending",2)</f>
        <v>0</v>
      </c>
      <c r="AC438" s="3" t="str">
        <f>IF(fin_table[[#This Row],[Loan Defaulters]]=1,"Default", "Good")</f>
        <v>Good</v>
      </c>
      <c r="AD438" s="3">
        <f t="shared" si="47"/>
        <v>5</v>
      </c>
      <c r="AE438" s="4">
        <v>12399.31</v>
      </c>
      <c r="AF438" s="4" t="str">
        <f>IF(fin_table[[#This Row],[Monthly Income]]&lt;3000, "Low Income", IF(fin_table[[#This Row],[Monthly Income]]&lt;=5000, "Middle Income", "High Income"))</f>
        <v>High Income</v>
      </c>
      <c r="AG438" t="s">
        <v>63</v>
      </c>
      <c r="AH438" t="s">
        <v>3636</v>
      </c>
      <c r="AI438" t="str">
        <f t="shared" si="48"/>
        <v>Low-Risk</v>
      </c>
    </row>
    <row r="439" spans="1:35" x14ac:dyDescent="0.35">
      <c r="A439" t="s">
        <v>1687</v>
      </c>
      <c r="B439" t="s">
        <v>1688</v>
      </c>
      <c r="C439" t="s">
        <v>1689</v>
      </c>
      <c r="D439" s="1">
        <v>44985</v>
      </c>
      <c r="E439" s="1" t="str">
        <f t="shared" si="42"/>
        <v>28</v>
      </c>
      <c r="F439" s="1" t="str">
        <f t="shared" si="43"/>
        <v>Feb</v>
      </c>
      <c r="G439" s="6" t="s">
        <v>71</v>
      </c>
      <c r="H439" s="5">
        <v>2875.31</v>
      </c>
      <c r="I439" s="5" t="str">
        <f>IF(fin_table[[#This Row],[Account Balance]]&lt;20000,"Active", "Not Active")</f>
        <v>Active</v>
      </c>
      <c r="J439" s="5">
        <v>5830.56</v>
      </c>
      <c r="K439" s="5" t="str">
        <f t="shared" si="44"/>
        <v>Low</v>
      </c>
      <c r="L439" s="6" t="s">
        <v>24</v>
      </c>
      <c r="M439">
        <v>68</v>
      </c>
      <c r="N439" s="6" t="str">
        <f t="shared" si="45"/>
        <v>Seniors</v>
      </c>
      <c r="O439" s="6" t="s">
        <v>25</v>
      </c>
      <c r="P439" s="6" t="s">
        <v>26</v>
      </c>
      <c r="Q439" t="s">
        <v>1690</v>
      </c>
      <c r="R439" s="6" t="s">
        <v>38</v>
      </c>
      <c r="S439" s="6" t="s">
        <v>44</v>
      </c>
      <c r="T439" s="14">
        <v>1.4999999999999999E-2</v>
      </c>
      <c r="U439">
        <v>1.4999999999999999E-2</v>
      </c>
      <c r="V439" t="str">
        <f>IF(fin_table[[#This Row],[Interest Rate(%)]]&gt;4,"high","low")</f>
        <v>low</v>
      </c>
      <c r="W439" s="5">
        <v>26681.654999999999</v>
      </c>
      <c r="X439" s="5">
        <f>fin_table[[#This Row],[Interest Rate]]*fin_table[[#This Row],[Loan Amount]]</f>
        <v>400.22482499999995</v>
      </c>
      <c r="Y439">
        <v>13</v>
      </c>
      <c r="Z439" s="3">
        <v>587</v>
      </c>
      <c r="AA439" s="3" t="str">
        <f t="shared" si="46"/>
        <v>Fair</v>
      </c>
      <c r="AB439" s="3" cm="1">
        <f t="array" ref="AB439">_xlfn.IFS(fin_table[[#This Row],[Transaction Status]]="Failed", 1, fin_table[[#This Row],[Transaction Status]]="Completed",0,fin_table[[#This Row],[Transaction Status]]="Pending",2)</f>
        <v>0</v>
      </c>
      <c r="AC439" s="3" t="str">
        <f>IF(fin_table[[#This Row],[Loan Defaulters]]=1,"Default", "Good")</f>
        <v>Good</v>
      </c>
      <c r="AD439" s="3">
        <f t="shared" si="47"/>
        <v>2</v>
      </c>
      <c r="AE439" s="4">
        <v>12845.32</v>
      </c>
      <c r="AF439" s="4" t="str">
        <f>IF(fin_table[[#This Row],[Monthly Income]]&lt;3000, "Low Income", IF(fin_table[[#This Row],[Monthly Income]]&lt;=5000, "Middle Income", "High Income"))</f>
        <v>High Income</v>
      </c>
      <c r="AG439" t="s">
        <v>45</v>
      </c>
      <c r="AH439" t="s">
        <v>3635</v>
      </c>
      <c r="AI439" t="str">
        <f t="shared" si="48"/>
        <v>Low-Risk</v>
      </c>
    </row>
    <row r="440" spans="1:35" x14ac:dyDescent="0.35">
      <c r="A440" t="s">
        <v>1691</v>
      </c>
      <c r="B440" t="s">
        <v>1692</v>
      </c>
      <c r="C440" t="s">
        <v>1693</v>
      </c>
      <c r="D440" s="1">
        <v>44821</v>
      </c>
      <c r="E440" s="1" t="str">
        <f t="shared" si="42"/>
        <v>17</v>
      </c>
      <c r="F440" s="1" t="str">
        <f t="shared" si="43"/>
        <v>Sep</v>
      </c>
      <c r="G440" s="6" t="s">
        <v>23</v>
      </c>
      <c r="H440" s="5">
        <v>6905.32</v>
      </c>
      <c r="I440" s="5" t="str">
        <f>IF(fin_table[[#This Row],[Account Balance]]&lt;20000,"Active", "Not Active")</f>
        <v>Not Active</v>
      </c>
      <c r="J440" s="5">
        <v>41636.400000000001</v>
      </c>
      <c r="K440" s="5" t="str">
        <f t="shared" si="44"/>
        <v>Medium</v>
      </c>
      <c r="L440" s="6" t="s">
        <v>125</v>
      </c>
      <c r="M440">
        <v>27</v>
      </c>
      <c r="N440" s="6" t="str">
        <f t="shared" si="45"/>
        <v>Adults</v>
      </c>
      <c r="O440" s="6" t="s">
        <v>42</v>
      </c>
      <c r="P440" s="6" t="s">
        <v>50</v>
      </c>
      <c r="Q440" t="s">
        <v>1694</v>
      </c>
      <c r="R440" s="6" t="s">
        <v>28</v>
      </c>
      <c r="S440" s="6" t="s">
        <v>29</v>
      </c>
      <c r="T440" s="14">
        <v>1.17E-2</v>
      </c>
      <c r="U440">
        <v>1.17</v>
      </c>
      <c r="V440" t="str">
        <f>IF(fin_table[[#This Row],[Interest Rate(%)]]&gt;4,"high","low")</f>
        <v>low</v>
      </c>
      <c r="W440" s="5">
        <v>26681.654999999999</v>
      </c>
      <c r="X440" s="5">
        <f>fin_table[[#This Row],[Interest Rate]]*fin_table[[#This Row],[Loan Amount]]</f>
        <v>312.1753635</v>
      </c>
      <c r="Y440">
        <v>13</v>
      </c>
      <c r="Z440" s="3">
        <v>394</v>
      </c>
      <c r="AA440" s="3" t="str">
        <f t="shared" si="46"/>
        <v>Poor</v>
      </c>
      <c r="AB440" s="3" cm="1">
        <f t="array" ref="AB440">_xlfn.IFS(fin_table[[#This Row],[Transaction Status]]="Failed", 1, fin_table[[#This Row],[Transaction Status]]="Completed",0,fin_table[[#This Row],[Transaction Status]]="Pending",2)</f>
        <v>1</v>
      </c>
      <c r="AC440" s="3" t="str">
        <f>IF(fin_table[[#This Row],[Loan Defaulters]]=1,"Default", "Good")</f>
        <v>Default</v>
      </c>
      <c r="AD440" s="3">
        <f t="shared" si="47"/>
        <v>1</v>
      </c>
      <c r="AE440" s="4">
        <v>5954.37</v>
      </c>
      <c r="AF440" s="4" t="str">
        <f>IF(fin_table[[#This Row],[Monthly Income]]&lt;3000, "Low Income", IF(fin_table[[#This Row],[Monthly Income]]&lt;=5000, "Middle Income", "High Income"))</f>
        <v>High Income</v>
      </c>
      <c r="AG440" t="s">
        <v>30</v>
      </c>
      <c r="AH440" t="s">
        <v>3635</v>
      </c>
      <c r="AI440" t="str">
        <f t="shared" si="48"/>
        <v>Low-Risk</v>
      </c>
    </row>
    <row r="441" spans="1:35" x14ac:dyDescent="0.35">
      <c r="A441" t="s">
        <v>1695</v>
      </c>
      <c r="B441" t="s">
        <v>1696</v>
      </c>
      <c r="C441" t="s">
        <v>1697</v>
      </c>
      <c r="D441" s="1">
        <v>44686</v>
      </c>
      <c r="E441" s="1" t="str">
        <f t="shared" si="42"/>
        <v>05</v>
      </c>
      <c r="F441" s="1" t="str">
        <f t="shared" si="43"/>
        <v>May</v>
      </c>
      <c r="G441" s="6" t="s">
        <v>23</v>
      </c>
      <c r="H441" s="5">
        <v>342.53</v>
      </c>
      <c r="I441" s="5" t="str">
        <f>IF(fin_table[[#This Row],[Account Balance]]&lt;20000,"Active", "Not Active")</f>
        <v>Not Active</v>
      </c>
      <c r="J441" s="5">
        <v>35627.1</v>
      </c>
      <c r="K441" s="5" t="str">
        <f t="shared" si="44"/>
        <v>Medium</v>
      </c>
      <c r="L441" s="6" t="s">
        <v>24</v>
      </c>
      <c r="M441">
        <v>60</v>
      </c>
      <c r="N441" s="6" t="str">
        <f t="shared" si="45"/>
        <v>Older Adults</v>
      </c>
      <c r="O441" s="6" t="s">
        <v>25</v>
      </c>
      <c r="P441" s="6" t="s">
        <v>50</v>
      </c>
      <c r="Q441" t="s">
        <v>1381</v>
      </c>
      <c r="R441" s="6" t="s">
        <v>28</v>
      </c>
      <c r="S441" s="6" t="s">
        <v>44</v>
      </c>
      <c r="T441" s="14">
        <v>2.1299999999999999E-2</v>
      </c>
      <c r="U441">
        <v>2.13</v>
      </c>
      <c r="V441" t="str">
        <f>IF(fin_table[[#This Row],[Interest Rate(%)]]&gt;4,"high","low")</f>
        <v>low</v>
      </c>
      <c r="W441" s="5">
        <v>26681.654999999999</v>
      </c>
      <c r="X441" s="5">
        <f>fin_table[[#This Row],[Interest Rate]]*fin_table[[#This Row],[Loan Amount]]</f>
        <v>568.31925149999995</v>
      </c>
      <c r="Y441">
        <v>26</v>
      </c>
      <c r="Z441" s="3">
        <v>340</v>
      </c>
      <c r="AA441" s="3" t="str">
        <f t="shared" si="46"/>
        <v>Poor</v>
      </c>
      <c r="AB441" s="3" cm="1">
        <f t="array" ref="AB441">_xlfn.IFS(fin_table[[#This Row],[Transaction Status]]="Failed", 1, fin_table[[#This Row],[Transaction Status]]="Completed",0,fin_table[[#This Row],[Transaction Status]]="Pending",2)</f>
        <v>0</v>
      </c>
      <c r="AC441" s="3" t="str">
        <f>IF(fin_table[[#This Row],[Loan Defaulters]]=1,"Default", "Good")</f>
        <v>Good</v>
      </c>
      <c r="AD441" s="3">
        <f t="shared" si="47"/>
        <v>1</v>
      </c>
      <c r="AE441" s="4">
        <v>8097.19</v>
      </c>
      <c r="AF441" s="4" t="str">
        <f>IF(fin_table[[#This Row],[Monthly Income]]&lt;3000, "Low Income", IF(fin_table[[#This Row],[Monthly Income]]&lt;=5000, "Middle Income", "High Income"))</f>
        <v>High Income</v>
      </c>
      <c r="AG441" t="s">
        <v>45</v>
      </c>
      <c r="AH441" t="s">
        <v>3635</v>
      </c>
      <c r="AI441" t="str">
        <f t="shared" si="48"/>
        <v>Low-Risk</v>
      </c>
    </row>
    <row r="442" spans="1:35" x14ac:dyDescent="0.35">
      <c r="A442" t="s">
        <v>1698</v>
      </c>
      <c r="B442" t="s">
        <v>1699</v>
      </c>
      <c r="C442" t="s">
        <v>1700</v>
      </c>
      <c r="D442" s="1">
        <v>44590</v>
      </c>
      <c r="E442" s="1" t="str">
        <f t="shared" si="42"/>
        <v>29</v>
      </c>
      <c r="F442" s="1" t="str">
        <f t="shared" si="43"/>
        <v>Jan</v>
      </c>
      <c r="G442" s="6" t="s">
        <v>56</v>
      </c>
      <c r="H442" s="5">
        <v>3130.76</v>
      </c>
      <c r="I442" s="5" t="str">
        <f>IF(fin_table[[#This Row],[Account Balance]]&lt;20000,"Active", "Not Active")</f>
        <v>Not Active</v>
      </c>
      <c r="J442" s="5">
        <v>31243.72</v>
      </c>
      <c r="K442" s="5" t="str">
        <f t="shared" si="44"/>
        <v>Medium</v>
      </c>
      <c r="L442" s="6" t="s">
        <v>35</v>
      </c>
      <c r="M442">
        <v>32</v>
      </c>
      <c r="N442" s="6" t="str">
        <f t="shared" si="45"/>
        <v>Adults</v>
      </c>
      <c r="O442" s="6" t="s">
        <v>42</v>
      </c>
      <c r="P442" s="6" t="s">
        <v>50</v>
      </c>
      <c r="Q442" t="s">
        <v>324</v>
      </c>
      <c r="R442" s="6" t="s">
        <v>52</v>
      </c>
      <c r="S442" s="6" t="s">
        <v>62</v>
      </c>
      <c r="T442" s="14">
        <v>1.9800000000000002E-2</v>
      </c>
      <c r="U442">
        <v>1.98</v>
      </c>
      <c r="V442" t="str">
        <f>IF(fin_table[[#This Row],[Interest Rate(%)]]&gt;4,"high","low")</f>
        <v>low</v>
      </c>
      <c r="W442" s="5">
        <v>26681.654999999999</v>
      </c>
      <c r="X442" s="5">
        <f>fin_table[[#This Row],[Interest Rate]]*fin_table[[#This Row],[Loan Amount]]</f>
        <v>528.29676900000004</v>
      </c>
      <c r="Y442">
        <v>7</v>
      </c>
      <c r="Z442" s="3">
        <v>630</v>
      </c>
      <c r="AA442" s="3" t="str">
        <f t="shared" si="46"/>
        <v>Fair</v>
      </c>
      <c r="AB442" s="3" cm="1">
        <f t="array" ref="AB442">_xlfn.IFS(fin_table[[#This Row],[Transaction Status]]="Failed", 1, fin_table[[#This Row],[Transaction Status]]="Completed",0,fin_table[[#This Row],[Transaction Status]]="Pending",2)</f>
        <v>2</v>
      </c>
      <c r="AC442" s="3" t="str">
        <f>IF(fin_table[[#This Row],[Loan Defaulters]]=1,"Default", "Good")</f>
        <v>Good</v>
      </c>
      <c r="AD442" s="3">
        <f t="shared" si="47"/>
        <v>2</v>
      </c>
      <c r="AE442" s="4">
        <v>13359.66</v>
      </c>
      <c r="AF442" s="4" t="str">
        <f>IF(fin_table[[#This Row],[Monthly Income]]&lt;3000, "Low Income", IF(fin_table[[#This Row],[Monthly Income]]&lt;=5000, "Middle Income", "High Income"))</f>
        <v>High Income</v>
      </c>
      <c r="AG442" t="s">
        <v>45</v>
      </c>
      <c r="AH442" t="s">
        <v>3635</v>
      </c>
      <c r="AI442" t="str">
        <f t="shared" si="48"/>
        <v>Low-Risk</v>
      </c>
    </row>
    <row r="443" spans="1:35" x14ac:dyDescent="0.35">
      <c r="A443" t="s">
        <v>1701</v>
      </c>
      <c r="B443" t="s">
        <v>1702</v>
      </c>
      <c r="C443" t="s">
        <v>1703</v>
      </c>
      <c r="D443" s="1">
        <v>45126</v>
      </c>
      <c r="E443" s="1" t="str">
        <f t="shared" si="42"/>
        <v>19</v>
      </c>
      <c r="F443" s="1" t="str">
        <f t="shared" si="43"/>
        <v>Jul</v>
      </c>
      <c r="G443" s="6" t="s">
        <v>23</v>
      </c>
      <c r="H443" s="5">
        <v>5536.39</v>
      </c>
      <c r="I443" s="5" t="str">
        <f>IF(fin_table[[#This Row],[Account Balance]]&lt;20000,"Active", "Not Active")</f>
        <v>Active</v>
      </c>
      <c r="J443" s="5">
        <v>8643.06</v>
      </c>
      <c r="K443" s="5" t="str">
        <f t="shared" si="44"/>
        <v>Low</v>
      </c>
      <c r="L443" s="6" t="s">
        <v>24</v>
      </c>
      <c r="M443">
        <v>55</v>
      </c>
      <c r="N443" s="6" t="str">
        <f t="shared" si="45"/>
        <v>Older Adults</v>
      </c>
      <c r="O443" s="6" t="s">
        <v>25</v>
      </c>
      <c r="P443" s="6" t="s">
        <v>50</v>
      </c>
      <c r="Q443" t="s">
        <v>1704</v>
      </c>
      <c r="R443" s="6" t="s">
        <v>38</v>
      </c>
      <c r="S443" s="6" t="s">
        <v>29</v>
      </c>
      <c r="T443" s="14">
        <v>3.2399999999999998E-2</v>
      </c>
      <c r="U443">
        <v>3.24</v>
      </c>
      <c r="V443" t="str">
        <f>IF(fin_table[[#This Row],[Interest Rate(%)]]&gt;4,"high","low")</f>
        <v>low</v>
      </c>
      <c r="W443" s="5">
        <v>26681.654999999999</v>
      </c>
      <c r="X443" s="5">
        <f>fin_table[[#This Row],[Interest Rate]]*fin_table[[#This Row],[Loan Amount]]</f>
        <v>864.48562199999992</v>
      </c>
      <c r="Y443">
        <v>13</v>
      </c>
      <c r="Z443" s="3">
        <v>454</v>
      </c>
      <c r="AA443" s="3" t="str">
        <f t="shared" si="46"/>
        <v>Poor</v>
      </c>
      <c r="AB443" s="3" cm="1">
        <f t="array" ref="AB443">_xlfn.IFS(fin_table[[#This Row],[Transaction Status]]="Failed", 1, fin_table[[#This Row],[Transaction Status]]="Completed",0,fin_table[[#This Row],[Transaction Status]]="Pending",2)</f>
        <v>1</v>
      </c>
      <c r="AC443" s="3" t="str">
        <f>IF(fin_table[[#This Row],[Loan Defaulters]]=1,"Default", "Good")</f>
        <v>Default</v>
      </c>
      <c r="AD443" s="3">
        <f t="shared" si="47"/>
        <v>1</v>
      </c>
      <c r="AE443" s="4">
        <v>2684.75</v>
      </c>
      <c r="AF443" s="4" t="str">
        <f>IF(fin_table[[#This Row],[Monthly Income]]&lt;3000, "Low Income", IF(fin_table[[#This Row],[Monthly Income]]&lt;=5000, "Middle Income", "High Income"))</f>
        <v>Low Income</v>
      </c>
      <c r="AG443" t="s">
        <v>45</v>
      </c>
      <c r="AH443" t="s">
        <v>3635</v>
      </c>
      <c r="AI443" t="str">
        <f t="shared" si="48"/>
        <v>Low-Risk</v>
      </c>
    </row>
    <row r="444" spans="1:35" x14ac:dyDescent="0.35">
      <c r="A444" t="s">
        <v>1705</v>
      </c>
      <c r="B444" t="s">
        <v>1706</v>
      </c>
      <c r="C444" t="s">
        <v>1707</v>
      </c>
      <c r="D444" s="1">
        <v>44671</v>
      </c>
      <c r="E444" s="1" t="str">
        <f t="shared" si="42"/>
        <v>20</v>
      </c>
      <c r="F444" s="1" t="str">
        <f t="shared" si="43"/>
        <v>Apr</v>
      </c>
      <c r="G444" s="6" t="s">
        <v>34</v>
      </c>
      <c r="H444" s="5">
        <v>6357.69</v>
      </c>
      <c r="I444" s="5" t="str">
        <f>IF(fin_table[[#This Row],[Account Balance]]&lt;20000,"Active", "Not Active")</f>
        <v>Not Active</v>
      </c>
      <c r="J444" s="5">
        <v>24446.31</v>
      </c>
      <c r="K444" s="5" t="str">
        <f t="shared" si="44"/>
        <v>Medium</v>
      </c>
      <c r="L444" s="6" t="s">
        <v>35</v>
      </c>
      <c r="M444">
        <v>32</v>
      </c>
      <c r="N444" s="6" t="str">
        <f t="shared" si="45"/>
        <v>Adults</v>
      </c>
      <c r="O444" s="6" t="s">
        <v>25</v>
      </c>
      <c r="P444" s="6" t="s">
        <v>36</v>
      </c>
      <c r="Q444" t="s">
        <v>1708</v>
      </c>
      <c r="R444" s="6" t="s">
        <v>52</v>
      </c>
      <c r="S444" s="6" t="s">
        <v>62</v>
      </c>
      <c r="T444" s="14">
        <v>1.09E-2</v>
      </c>
      <c r="U444">
        <v>1.0900000000000001</v>
      </c>
      <c r="V444" t="str">
        <f>IF(fin_table[[#This Row],[Interest Rate(%)]]&gt;4,"high","low")</f>
        <v>low</v>
      </c>
      <c r="W444" s="5">
        <v>26681.654999999999</v>
      </c>
      <c r="X444" s="5">
        <f>fin_table[[#This Row],[Interest Rate]]*fin_table[[#This Row],[Loan Amount]]</f>
        <v>290.8300395</v>
      </c>
      <c r="Y444">
        <v>13</v>
      </c>
      <c r="Z444" s="3">
        <v>803</v>
      </c>
      <c r="AA444" s="3" t="str">
        <f t="shared" si="46"/>
        <v>Excellent</v>
      </c>
      <c r="AB444" s="3" cm="1">
        <f t="array" ref="AB444">_xlfn.IFS(fin_table[[#This Row],[Transaction Status]]="Failed", 1, fin_table[[#This Row],[Transaction Status]]="Completed",0,fin_table[[#This Row],[Transaction Status]]="Pending",2)</f>
        <v>2</v>
      </c>
      <c r="AC444" s="3" t="str">
        <f>IF(fin_table[[#This Row],[Loan Defaulters]]=1,"Default", "Good")</f>
        <v>Good</v>
      </c>
      <c r="AD444" s="3">
        <f t="shared" si="47"/>
        <v>5</v>
      </c>
      <c r="AE444" s="4">
        <v>13558.88</v>
      </c>
      <c r="AF444" s="4" t="str">
        <f>IF(fin_table[[#This Row],[Monthly Income]]&lt;3000, "Low Income", IF(fin_table[[#This Row],[Monthly Income]]&lt;=5000, "Middle Income", "High Income"))</f>
        <v>High Income</v>
      </c>
      <c r="AG444" t="s">
        <v>63</v>
      </c>
      <c r="AH444" t="s">
        <v>3635</v>
      </c>
      <c r="AI444" t="str">
        <f t="shared" si="48"/>
        <v>Low-Risk</v>
      </c>
    </row>
    <row r="445" spans="1:35" x14ac:dyDescent="0.35">
      <c r="A445" t="s">
        <v>1709</v>
      </c>
      <c r="B445" t="s">
        <v>1710</v>
      </c>
      <c r="C445" t="s">
        <v>1711</v>
      </c>
      <c r="D445" s="1">
        <v>45090</v>
      </c>
      <c r="E445" s="1" t="str">
        <f t="shared" si="42"/>
        <v>13</v>
      </c>
      <c r="F445" s="1" t="str">
        <f t="shared" si="43"/>
        <v>Jun</v>
      </c>
      <c r="G445" s="6" t="s">
        <v>34</v>
      </c>
      <c r="H445" s="5">
        <v>5812.7</v>
      </c>
      <c r="I445" s="5" t="str">
        <f>IF(fin_table[[#This Row],[Account Balance]]&lt;20000,"Active", "Not Active")</f>
        <v>Not Active</v>
      </c>
      <c r="J445" s="5">
        <v>39247.25</v>
      </c>
      <c r="K445" s="5" t="str">
        <f t="shared" si="44"/>
        <v>Medium</v>
      </c>
      <c r="L445" s="6" t="s">
        <v>49</v>
      </c>
      <c r="M445">
        <v>22</v>
      </c>
      <c r="N445" s="6" t="str">
        <f t="shared" si="45"/>
        <v>Young Adults</v>
      </c>
      <c r="O445" s="6" t="s">
        <v>25</v>
      </c>
      <c r="P445" s="6" t="s">
        <v>26</v>
      </c>
      <c r="Q445" t="s">
        <v>1712</v>
      </c>
      <c r="R445" s="6" t="s">
        <v>52</v>
      </c>
      <c r="S445" s="6" t="s">
        <v>29</v>
      </c>
      <c r="T445" s="14">
        <v>3.0800000000000001E-2</v>
      </c>
      <c r="U445">
        <v>3.08</v>
      </c>
      <c r="V445" t="str">
        <f>IF(fin_table[[#This Row],[Interest Rate(%)]]&gt;4,"high","low")</f>
        <v>low</v>
      </c>
      <c r="W445" s="5">
        <v>40806.800000000003</v>
      </c>
      <c r="X445" s="5">
        <f>fin_table[[#This Row],[Interest Rate]]*fin_table[[#This Row],[Loan Amount]]</f>
        <v>1256.8494400000002</v>
      </c>
      <c r="Y445">
        <v>13</v>
      </c>
      <c r="Z445" s="3">
        <v>574</v>
      </c>
      <c r="AA445" s="3" t="str">
        <f t="shared" si="46"/>
        <v>Poor</v>
      </c>
      <c r="AB445" s="3" cm="1">
        <f t="array" ref="AB445">_xlfn.IFS(fin_table[[#This Row],[Transaction Status]]="Failed", 1, fin_table[[#This Row],[Transaction Status]]="Completed",0,fin_table[[#This Row],[Transaction Status]]="Pending",2)</f>
        <v>1</v>
      </c>
      <c r="AC445" s="3" t="str">
        <f>IF(fin_table[[#This Row],[Loan Defaulters]]=1,"Default", "Good")</f>
        <v>Default</v>
      </c>
      <c r="AD445" s="3">
        <f t="shared" si="47"/>
        <v>1</v>
      </c>
      <c r="AE445" s="4">
        <v>4849.3999999999996</v>
      </c>
      <c r="AF445" s="4" t="str">
        <f>IF(fin_table[[#This Row],[Monthly Income]]&lt;3000, "Low Income", IF(fin_table[[#This Row],[Monthly Income]]&lt;=5000, "Middle Income", "High Income"))</f>
        <v>Middle Income</v>
      </c>
      <c r="AG445" t="s">
        <v>63</v>
      </c>
      <c r="AH445" t="s">
        <v>3636</v>
      </c>
      <c r="AI445" t="str">
        <f t="shared" si="48"/>
        <v>High-Risk</v>
      </c>
    </row>
    <row r="446" spans="1:35" x14ac:dyDescent="0.35">
      <c r="A446" t="s">
        <v>1713</v>
      </c>
      <c r="B446" t="s">
        <v>1714</v>
      </c>
      <c r="C446" t="s">
        <v>1715</v>
      </c>
      <c r="D446" s="1">
        <v>44893</v>
      </c>
      <c r="E446" s="1" t="str">
        <f t="shared" si="42"/>
        <v>28</v>
      </c>
      <c r="F446" s="1" t="str">
        <f t="shared" si="43"/>
        <v>Nov</v>
      </c>
      <c r="G446" s="6" t="s">
        <v>71</v>
      </c>
      <c r="H446" s="5">
        <v>7007.79</v>
      </c>
      <c r="I446" s="5" t="str">
        <f>IF(fin_table[[#This Row],[Account Balance]]&lt;20000,"Active", "Not Active")</f>
        <v>Active</v>
      </c>
      <c r="J446" s="5">
        <v>15877.57</v>
      </c>
      <c r="K446" s="5" t="str">
        <f t="shared" si="44"/>
        <v>Medium</v>
      </c>
      <c r="L446" s="6" t="s">
        <v>35</v>
      </c>
      <c r="M446">
        <v>46</v>
      </c>
      <c r="N446" s="6" t="str">
        <f t="shared" si="45"/>
        <v>Older Adults</v>
      </c>
      <c r="O446" s="6" t="s">
        <v>42</v>
      </c>
      <c r="P446" s="6" t="s">
        <v>26</v>
      </c>
      <c r="Q446" t="s">
        <v>1716</v>
      </c>
      <c r="R446" s="6" t="s">
        <v>52</v>
      </c>
      <c r="S446" s="6" t="s">
        <v>44</v>
      </c>
      <c r="T446" s="14">
        <v>2.5700000000000001E-2</v>
      </c>
      <c r="U446">
        <v>2.57</v>
      </c>
      <c r="V446" t="str">
        <f>IF(fin_table[[#This Row],[Interest Rate(%)]]&gt;4,"high","low")</f>
        <v>low</v>
      </c>
      <c r="W446" s="5">
        <v>26681.654999999999</v>
      </c>
      <c r="X446" s="5">
        <f>fin_table[[#This Row],[Interest Rate]]*fin_table[[#This Row],[Loan Amount]]</f>
        <v>685.71853350000004</v>
      </c>
      <c r="Y446">
        <v>14</v>
      </c>
      <c r="Z446" s="3">
        <v>478</v>
      </c>
      <c r="AA446" s="3" t="str">
        <f t="shared" si="46"/>
        <v>Poor</v>
      </c>
      <c r="AB446" s="3" cm="1">
        <f t="array" ref="AB446">_xlfn.IFS(fin_table[[#This Row],[Transaction Status]]="Failed", 1, fin_table[[#This Row],[Transaction Status]]="Completed",0,fin_table[[#This Row],[Transaction Status]]="Pending",2)</f>
        <v>0</v>
      </c>
      <c r="AC446" s="3" t="str">
        <f>IF(fin_table[[#This Row],[Loan Defaulters]]=1,"Default", "Good")</f>
        <v>Good</v>
      </c>
      <c r="AD446" s="3">
        <f t="shared" si="47"/>
        <v>1</v>
      </c>
      <c r="AE446" s="4">
        <v>10821.01</v>
      </c>
      <c r="AF446" s="4" t="str">
        <f>IF(fin_table[[#This Row],[Monthly Income]]&lt;3000, "Low Income", IF(fin_table[[#This Row],[Monthly Income]]&lt;=5000, "Middle Income", "High Income"))</f>
        <v>High Income</v>
      </c>
      <c r="AG446" t="s">
        <v>45</v>
      </c>
      <c r="AH446" t="s">
        <v>3635</v>
      </c>
      <c r="AI446" t="str">
        <f t="shared" si="48"/>
        <v>Low-Risk</v>
      </c>
    </row>
    <row r="447" spans="1:35" x14ac:dyDescent="0.35">
      <c r="A447" t="s">
        <v>1717</v>
      </c>
      <c r="B447" t="s">
        <v>1718</v>
      </c>
      <c r="C447" t="s">
        <v>1719</v>
      </c>
      <c r="D447" s="1">
        <v>44710</v>
      </c>
      <c r="E447" s="1" t="str">
        <f t="shared" si="42"/>
        <v>29</v>
      </c>
      <c r="F447" s="1" t="str">
        <f t="shared" si="43"/>
        <v>May</v>
      </c>
      <c r="G447" s="6" t="s">
        <v>71</v>
      </c>
      <c r="H447" s="5">
        <v>160.28</v>
      </c>
      <c r="I447" s="5" t="str">
        <f>IF(fin_table[[#This Row],[Account Balance]]&lt;20000,"Active", "Not Active")</f>
        <v>Active</v>
      </c>
      <c r="J447" s="5">
        <v>16272.8</v>
      </c>
      <c r="K447" s="5" t="str">
        <f t="shared" si="44"/>
        <v>Medium</v>
      </c>
      <c r="L447" s="6" t="s">
        <v>100</v>
      </c>
      <c r="M447">
        <v>36</v>
      </c>
      <c r="N447" s="6" t="str">
        <f t="shared" si="45"/>
        <v>Middle-Aged</v>
      </c>
      <c r="O447" s="6" t="s">
        <v>42</v>
      </c>
      <c r="P447" s="6" t="s">
        <v>36</v>
      </c>
      <c r="Q447" t="s">
        <v>150</v>
      </c>
      <c r="R447" s="6" t="s">
        <v>52</v>
      </c>
      <c r="S447" s="6" t="s">
        <v>44</v>
      </c>
      <c r="T447" s="14">
        <v>3.3099999999999997E-2</v>
      </c>
      <c r="U447">
        <v>3.31</v>
      </c>
      <c r="V447" t="str">
        <f>IF(fin_table[[#This Row],[Interest Rate(%)]]&gt;4,"high","low")</f>
        <v>low</v>
      </c>
      <c r="W447" s="5">
        <v>26681.654999999999</v>
      </c>
      <c r="X447" s="5">
        <f>fin_table[[#This Row],[Interest Rate]]*fin_table[[#This Row],[Loan Amount]]</f>
        <v>883.16278049999994</v>
      </c>
      <c r="Y447">
        <v>13</v>
      </c>
      <c r="Z447" s="3">
        <v>436</v>
      </c>
      <c r="AA447" s="3" t="str">
        <f t="shared" si="46"/>
        <v>Poor</v>
      </c>
      <c r="AB447" s="3" cm="1">
        <f t="array" ref="AB447">_xlfn.IFS(fin_table[[#This Row],[Transaction Status]]="Failed", 1, fin_table[[#This Row],[Transaction Status]]="Completed",0,fin_table[[#This Row],[Transaction Status]]="Pending",2)</f>
        <v>0</v>
      </c>
      <c r="AC447" s="3" t="str">
        <f>IF(fin_table[[#This Row],[Loan Defaulters]]=1,"Default", "Good")</f>
        <v>Good</v>
      </c>
      <c r="AD447" s="3">
        <f t="shared" si="47"/>
        <v>1</v>
      </c>
      <c r="AE447" s="4">
        <v>9573.17</v>
      </c>
      <c r="AF447" s="4" t="str">
        <f>IF(fin_table[[#This Row],[Monthly Income]]&lt;3000, "Low Income", IF(fin_table[[#This Row],[Monthly Income]]&lt;=5000, "Middle Income", "High Income"))</f>
        <v>High Income</v>
      </c>
      <c r="AG447" t="s">
        <v>63</v>
      </c>
      <c r="AH447" t="s">
        <v>3635</v>
      </c>
      <c r="AI447" t="str">
        <f t="shared" si="48"/>
        <v>Low-Risk</v>
      </c>
    </row>
    <row r="448" spans="1:35" x14ac:dyDescent="0.35">
      <c r="A448" t="s">
        <v>1720</v>
      </c>
      <c r="B448" t="s">
        <v>1721</v>
      </c>
      <c r="C448" t="s">
        <v>1722</v>
      </c>
      <c r="D448" s="1">
        <v>45106</v>
      </c>
      <c r="E448" s="1" t="str">
        <f t="shared" si="42"/>
        <v>29</v>
      </c>
      <c r="F448" s="1" t="str">
        <f t="shared" si="43"/>
        <v>Jun</v>
      </c>
      <c r="G448" s="6" t="s">
        <v>23</v>
      </c>
      <c r="H448" s="5">
        <v>1099.32</v>
      </c>
      <c r="I448" s="5" t="str">
        <f>IF(fin_table[[#This Row],[Account Balance]]&lt;20000,"Active", "Not Active")</f>
        <v>Active</v>
      </c>
      <c r="J448" s="5">
        <v>1153.9000000000001</v>
      </c>
      <c r="K448" s="5" t="str">
        <f t="shared" si="44"/>
        <v>Low</v>
      </c>
      <c r="L448" s="6" t="s">
        <v>100</v>
      </c>
      <c r="M448">
        <v>68</v>
      </c>
      <c r="N448" s="6" t="str">
        <f t="shared" si="45"/>
        <v>Seniors</v>
      </c>
      <c r="O448" s="6" t="s">
        <v>42</v>
      </c>
      <c r="P448" s="6" t="s">
        <v>50</v>
      </c>
      <c r="Q448" t="s">
        <v>1723</v>
      </c>
      <c r="R448" s="6" t="s">
        <v>38</v>
      </c>
      <c r="S448" s="6" t="s">
        <v>44</v>
      </c>
      <c r="T448" s="14">
        <v>3.8100000000000002E-2</v>
      </c>
      <c r="U448">
        <v>3.81</v>
      </c>
      <c r="V448" t="str">
        <f>IF(fin_table[[#This Row],[Interest Rate(%)]]&gt;4,"high","low")</f>
        <v>low</v>
      </c>
      <c r="W448" s="5">
        <v>48180.77</v>
      </c>
      <c r="X448" s="5">
        <f>fin_table[[#This Row],[Interest Rate]]*fin_table[[#This Row],[Loan Amount]]</f>
        <v>1835.6873370000001</v>
      </c>
      <c r="Y448">
        <v>13</v>
      </c>
      <c r="Z448" s="3">
        <v>479</v>
      </c>
      <c r="AA448" s="3" t="str">
        <f t="shared" si="46"/>
        <v>Poor</v>
      </c>
      <c r="AB448" s="3" cm="1">
        <f t="array" ref="AB448">_xlfn.IFS(fin_table[[#This Row],[Transaction Status]]="Failed", 1, fin_table[[#This Row],[Transaction Status]]="Completed",0,fin_table[[#This Row],[Transaction Status]]="Pending",2)</f>
        <v>0</v>
      </c>
      <c r="AC448" s="3" t="str">
        <f>IF(fin_table[[#This Row],[Loan Defaulters]]=1,"Default", "Good")</f>
        <v>Good</v>
      </c>
      <c r="AD448" s="3">
        <f t="shared" si="47"/>
        <v>1</v>
      </c>
      <c r="AE448" s="4">
        <v>9188.23</v>
      </c>
      <c r="AF448" s="4" t="str">
        <f>IF(fin_table[[#This Row],[Monthly Income]]&lt;3000, "Low Income", IF(fin_table[[#This Row],[Monthly Income]]&lt;=5000, "Middle Income", "High Income"))</f>
        <v>High Income</v>
      </c>
      <c r="AG448" t="s">
        <v>45</v>
      </c>
      <c r="AH448" t="s">
        <v>3636</v>
      </c>
      <c r="AI448" t="str">
        <f t="shared" si="48"/>
        <v>High-Risk</v>
      </c>
    </row>
    <row r="449" spans="1:35" x14ac:dyDescent="0.35">
      <c r="A449" t="s">
        <v>1724</v>
      </c>
      <c r="B449" t="s">
        <v>1725</v>
      </c>
      <c r="C449" t="s">
        <v>1726</v>
      </c>
      <c r="D449" s="1">
        <v>44790</v>
      </c>
      <c r="E449" s="1" t="str">
        <f t="shared" si="42"/>
        <v>17</v>
      </c>
      <c r="F449" s="1" t="str">
        <f t="shared" si="43"/>
        <v>Aug</v>
      </c>
      <c r="G449" s="6" t="s">
        <v>56</v>
      </c>
      <c r="H449" s="5">
        <v>8702.5499999999993</v>
      </c>
      <c r="I449" s="5" t="str">
        <f>IF(fin_table[[#This Row],[Account Balance]]&lt;20000,"Active", "Not Active")</f>
        <v>Active</v>
      </c>
      <c r="J449" s="5">
        <v>9537.93</v>
      </c>
      <c r="K449" s="5" t="str">
        <f t="shared" si="44"/>
        <v>Low</v>
      </c>
      <c r="L449" s="6" t="s">
        <v>100</v>
      </c>
      <c r="M449">
        <v>27</v>
      </c>
      <c r="N449" s="6" t="str">
        <f t="shared" si="45"/>
        <v>Adults</v>
      </c>
      <c r="O449" s="6" t="s">
        <v>42</v>
      </c>
      <c r="P449" s="6" t="s">
        <v>26</v>
      </c>
      <c r="Q449" t="s">
        <v>1727</v>
      </c>
      <c r="R449" s="6" t="s">
        <v>52</v>
      </c>
      <c r="S449" s="6" t="s">
        <v>62</v>
      </c>
      <c r="T449" s="14">
        <v>3.5400000000000001E-2</v>
      </c>
      <c r="U449">
        <v>3.54</v>
      </c>
      <c r="V449" t="str">
        <f>IF(fin_table[[#This Row],[Interest Rate(%)]]&gt;4,"high","low")</f>
        <v>low</v>
      </c>
      <c r="W449" s="5">
        <v>31645.55</v>
      </c>
      <c r="X449" s="5">
        <f>fin_table[[#This Row],[Interest Rate]]*fin_table[[#This Row],[Loan Amount]]</f>
        <v>1120.2524699999999</v>
      </c>
      <c r="Y449">
        <v>13</v>
      </c>
      <c r="Z449" s="3">
        <v>481</v>
      </c>
      <c r="AA449" s="3" t="str">
        <f t="shared" si="46"/>
        <v>Poor</v>
      </c>
      <c r="AB449" s="3" cm="1">
        <f t="array" ref="AB449">_xlfn.IFS(fin_table[[#This Row],[Transaction Status]]="Failed", 1, fin_table[[#This Row],[Transaction Status]]="Completed",0,fin_table[[#This Row],[Transaction Status]]="Pending",2)</f>
        <v>2</v>
      </c>
      <c r="AC449" s="3" t="str">
        <f>IF(fin_table[[#This Row],[Loan Defaulters]]=1,"Default", "Good")</f>
        <v>Good</v>
      </c>
      <c r="AD449" s="3">
        <f t="shared" si="47"/>
        <v>1</v>
      </c>
      <c r="AE449" s="4">
        <v>13171.68</v>
      </c>
      <c r="AF449" s="4" t="str">
        <f>IF(fin_table[[#This Row],[Monthly Income]]&lt;3000, "Low Income", IF(fin_table[[#This Row],[Monthly Income]]&lt;=5000, "Middle Income", "High Income"))</f>
        <v>High Income</v>
      </c>
      <c r="AG449" t="s">
        <v>63</v>
      </c>
      <c r="AH449" t="s">
        <v>3636</v>
      </c>
      <c r="AI449" t="str">
        <f t="shared" si="48"/>
        <v>Low-Risk</v>
      </c>
    </row>
    <row r="450" spans="1:35" x14ac:dyDescent="0.35">
      <c r="A450" t="s">
        <v>1728</v>
      </c>
      <c r="B450" t="s">
        <v>1729</v>
      </c>
      <c r="C450" t="s">
        <v>1730</v>
      </c>
      <c r="D450" s="1">
        <v>44811</v>
      </c>
      <c r="E450" s="1" t="str">
        <f t="shared" ref="E450:E513" si="49">TEXT(D450, "DD")</f>
        <v>07</v>
      </c>
      <c r="F450" s="1" t="str">
        <f t="shared" ref="F450:F513" si="50">TEXT(D450, "MMM")</f>
        <v>Sep</v>
      </c>
      <c r="G450" s="6" t="s">
        <v>23</v>
      </c>
      <c r="H450" s="5">
        <v>6849.31</v>
      </c>
      <c r="I450" s="5" t="str">
        <f>IF(fin_table[[#This Row],[Account Balance]]&lt;20000,"Active", "Not Active")</f>
        <v>Not Active</v>
      </c>
      <c r="J450" s="5">
        <v>43894.879999999997</v>
      </c>
      <c r="K450" s="5" t="str">
        <f t="shared" ref="K450:K513" si="51">IF(J450&lt;10000, "Low", IF(J450&lt;50000, "Medium", "High"))</f>
        <v>Medium</v>
      </c>
      <c r="L450" s="6" t="s">
        <v>125</v>
      </c>
      <c r="M450">
        <v>29</v>
      </c>
      <c r="N450" s="6" t="str">
        <f t="shared" ref="N450:N513" si="52">IF(M450&lt;18, "Teenagers", IF(M450&lt;=25, "Young Adults", IF(M450&lt;=35, "Adults", IF(M450&lt;=45, "Middle-Aged", IF(M450&lt;=60, "Older Adults", "Seniors")))))</f>
        <v>Adults</v>
      </c>
      <c r="O450" s="6" t="s">
        <v>25</v>
      </c>
      <c r="P450" s="6" t="s">
        <v>26</v>
      </c>
      <c r="Q450" t="s">
        <v>1731</v>
      </c>
      <c r="R450" s="6" t="s">
        <v>28</v>
      </c>
      <c r="S450" s="6" t="s">
        <v>29</v>
      </c>
      <c r="T450" s="14">
        <v>4.9399999999999999E-2</v>
      </c>
      <c r="U450">
        <v>4.9400000000000004</v>
      </c>
      <c r="V450" t="str">
        <f>IF(fin_table[[#This Row],[Interest Rate(%)]]&gt;4,"high","low")</f>
        <v>high</v>
      </c>
      <c r="W450" s="5">
        <v>41878.31</v>
      </c>
      <c r="X450" s="5">
        <f>fin_table[[#This Row],[Interest Rate]]*fin_table[[#This Row],[Loan Amount]]</f>
        <v>2068.7885139999999</v>
      </c>
      <c r="Y450">
        <v>8</v>
      </c>
      <c r="Z450" s="3">
        <v>558</v>
      </c>
      <c r="AA450" s="3" t="str">
        <f t="shared" ref="AA450:AA513" si="53">IF(Z450&lt;580, "Poor", IF(Z450&lt;670, "Fair", IF(Z450&lt;740, "Good", IF(Z450&lt;800, "Very Good", "Excellent"))))</f>
        <v>Poor</v>
      </c>
      <c r="AB450" s="3" cm="1">
        <f t="array" ref="AB450">_xlfn.IFS(fin_table[[#This Row],[Transaction Status]]="Failed", 1, fin_table[[#This Row],[Transaction Status]]="Completed",0,fin_table[[#This Row],[Transaction Status]]="Pending",2)</f>
        <v>1</v>
      </c>
      <c r="AC450" s="3" t="str">
        <f>IF(fin_table[[#This Row],[Loan Defaulters]]=1,"Default", "Good")</f>
        <v>Default</v>
      </c>
      <c r="AD450" s="3">
        <f t="shared" ref="AD450:AD513" si="54">IF(AA450="Poor", 1, IF(AA450="Fair", 2, IF(AA450="Good", 3, IF(AA450="Very Good", 4, IF(AA450="Excellent", 5, "")))))</f>
        <v>1</v>
      </c>
      <c r="AE450" s="4">
        <v>3320.44</v>
      </c>
      <c r="AF450" s="4" t="str">
        <f>IF(fin_table[[#This Row],[Monthly Income]]&lt;3000, "Low Income", IF(fin_table[[#This Row],[Monthly Income]]&lt;=5000, "Middle Income", "High Income"))</f>
        <v>Middle Income</v>
      </c>
      <c r="AG450" t="s">
        <v>63</v>
      </c>
      <c r="AH450" t="s">
        <v>3636</v>
      </c>
      <c r="AI450" t="str">
        <f t="shared" ref="AI450:AI513" si="55">IF(AND(W450&gt;33000, Z450&lt;600), "High-Risk", "Low-Risk")</f>
        <v>High-Risk</v>
      </c>
    </row>
    <row r="451" spans="1:35" x14ac:dyDescent="0.35">
      <c r="A451" t="s">
        <v>1732</v>
      </c>
      <c r="B451" t="s">
        <v>1733</v>
      </c>
      <c r="C451" t="s">
        <v>1734</v>
      </c>
      <c r="D451" s="1">
        <v>44734</v>
      </c>
      <c r="E451" s="1" t="str">
        <f t="shared" si="49"/>
        <v>22</v>
      </c>
      <c r="F451" s="1" t="str">
        <f t="shared" si="50"/>
        <v>Jun</v>
      </c>
      <c r="G451" s="6" t="s">
        <v>23</v>
      </c>
      <c r="H451" s="5">
        <v>1218.02</v>
      </c>
      <c r="I451" s="5" t="str">
        <f>IF(fin_table[[#This Row],[Account Balance]]&lt;20000,"Active", "Not Active")</f>
        <v>Not Active</v>
      </c>
      <c r="J451" s="5">
        <v>22645.58</v>
      </c>
      <c r="K451" s="5" t="str">
        <f t="shared" si="51"/>
        <v>Medium</v>
      </c>
      <c r="L451" s="6" t="s">
        <v>125</v>
      </c>
      <c r="M451">
        <v>21</v>
      </c>
      <c r="N451" s="6" t="str">
        <f t="shared" si="52"/>
        <v>Young Adults</v>
      </c>
      <c r="O451" s="6" t="s">
        <v>25</v>
      </c>
      <c r="P451" s="6" t="s">
        <v>36</v>
      </c>
      <c r="Q451" t="s">
        <v>43</v>
      </c>
      <c r="R451" s="6" t="s">
        <v>28</v>
      </c>
      <c r="S451" s="6" t="s">
        <v>62</v>
      </c>
      <c r="T451" s="14">
        <v>1.55E-2</v>
      </c>
      <c r="U451">
        <v>1.55</v>
      </c>
      <c r="V451" t="str">
        <f>IF(fin_table[[#This Row],[Interest Rate(%)]]&gt;4,"high","low")</f>
        <v>low</v>
      </c>
      <c r="W451" s="5">
        <v>26681.654999999999</v>
      </c>
      <c r="X451" s="5">
        <f>fin_table[[#This Row],[Interest Rate]]*fin_table[[#This Row],[Loan Amount]]</f>
        <v>413.5656525</v>
      </c>
      <c r="Y451">
        <v>8</v>
      </c>
      <c r="Z451" s="3">
        <v>542</v>
      </c>
      <c r="AA451" s="3" t="str">
        <f t="shared" si="53"/>
        <v>Poor</v>
      </c>
      <c r="AB451" s="3" cm="1">
        <f t="array" ref="AB451">_xlfn.IFS(fin_table[[#This Row],[Transaction Status]]="Failed", 1, fin_table[[#This Row],[Transaction Status]]="Completed",0,fin_table[[#This Row],[Transaction Status]]="Pending",2)</f>
        <v>2</v>
      </c>
      <c r="AC451" s="3" t="str">
        <f>IF(fin_table[[#This Row],[Loan Defaulters]]=1,"Default", "Good")</f>
        <v>Good</v>
      </c>
      <c r="AD451" s="3">
        <f t="shared" si="54"/>
        <v>1</v>
      </c>
      <c r="AE451" s="4">
        <v>6511.36</v>
      </c>
      <c r="AF451" s="4" t="str">
        <f>IF(fin_table[[#This Row],[Monthly Income]]&lt;3000, "Low Income", IF(fin_table[[#This Row],[Monthly Income]]&lt;=5000, "Middle Income", "High Income"))</f>
        <v>High Income</v>
      </c>
      <c r="AG451" t="s">
        <v>63</v>
      </c>
      <c r="AH451" t="s">
        <v>3635</v>
      </c>
      <c r="AI451" t="str">
        <f t="shared" si="55"/>
        <v>Low-Risk</v>
      </c>
    </row>
    <row r="452" spans="1:35" x14ac:dyDescent="0.35">
      <c r="A452" t="s">
        <v>1735</v>
      </c>
      <c r="B452" t="s">
        <v>1736</v>
      </c>
      <c r="C452" t="s">
        <v>1737</v>
      </c>
      <c r="D452" s="1">
        <v>44815</v>
      </c>
      <c r="E452" s="1" t="str">
        <f t="shared" si="49"/>
        <v>11</v>
      </c>
      <c r="F452" s="1" t="str">
        <f t="shared" si="50"/>
        <v>Sep</v>
      </c>
      <c r="G452" s="6" t="s">
        <v>23</v>
      </c>
      <c r="H452" s="5">
        <v>8436.5400000000009</v>
      </c>
      <c r="I452" s="5" t="str">
        <f>IF(fin_table[[#This Row],[Account Balance]]&lt;20000,"Active", "Not Active")</f>
        <v>Not Active</v>
      </c>
      <c r="J452" s="5">
        <v>49227.49</v>
      </c>
      <c r="K452" s="5" t="str">
        <f t="shared" si="51"/>
        <v>Medium</v>
      </c>
      <c r="L452" s="6" t="s">
        <v>125</v>
      </c>
      <c r="M452">
        <v>48</v>
      </c>
      <c r="N452" s="6" t="str">
        <f t="shared" si="52"/>
        <v>Older Adults</v>
      </c>
      <c r="O452" s="6" t="s">
        <v>25</v>
      </c>
      <c r="P452" s="6" t="s">
        <v>50</v>
      </c>
      <c r="Q452" t="s">
        <v>1738</v>
      </c>
      <c r="R452" s="6" t="s">
        <v>28</v>
      </c>
      <c r="S452" s="6" t="s">
        <v>29</v>
      </c>
      <c r="T452" s="14">
        <v>2.7199999999999998E-2</v>
      </c>
      <c r="U452">
        <v>2.72</v>
      </c>
      <c r="V452" t="str">
        <f>IF(fin_table[[#This Row],[Interest Rate(%)]]&gt;4,"high","low")</f>
        <v>low</v>
      </c>
      <c r="W452" s="5">
        <v>7988.47</v>
      </c>
      <c r="X452" s="5">
        <f>fin_table[[#This Row],[Interest Rate]]*fin_table[[#This Row],[Loan Amount]]</f>
        <v>217.286384</v>
      </c>
      <c r="Y452">
        <v>13</v>
      </c>
      <c r="Z452" s="3">
        <v>395</v>
      </c>
      <c r="AA452" s="3" t="str">
        <f t="shared" si="53"/>
        <v>Poor</v>
      </c>
      <c r="AB452" s="3" cm="1">
        <f t="array" ref="AB452">_xlfn.IFS(fin_table[[#This Row],[Transaction Status]]="Failed", 1, fin_table[[#This Row],[Transaction Status]]="Completed",0,fin_table[[#This Row],[Transaction Status]]="Pending",2)</f>
        <v>1</v>
      </c>
      <c r="AC452" s="3" t="str">
        <f>IF(fin_table[[#This Row],[Loan Defaulters]]=1,"Default", "Good")</f>
        <v>Default</v>
      </c>
      <c r="AD452" s="3">
        <f t="shared" si="54"/>
        <v>1</v>
      </c>
      <c r="AE452" s="4">
        <v>8997.2900000000009</v>
      </c>
      <c r="AF452" s="4" t="str">
        <f>IF(fin_table[[#This Row],[Monthly Income]]&lt;3000, "Low Income", IF(fin_table[[#This Row],[Monthly Income]]&lt;=5000, "Middle Income", "High Income"))</f>
        <v>High Income</v>
      </c>
      <c r="AG452" t="s">
        <v>30</v>
      </c>
      <c r="AH452" t="s">
        <v>3636</v>
      </c>
      <c r="AI452" t="str">
        <f t="shared" si="55"/>
        <v>Low-Risk</v>
      </c>
    </row>
    <row r="453" spans="1:35" x14ac:dyDescent="0.35">
      <c r="A453" t="s">
        <v>1739</v>
      </c>
      <c r="B453" t="s">
        <v>1740</v>
      </c>
      <c r="C453" t="s">
        <v>1741</v>
      </c>
      <c r="D453" s="1">
        <v>44904</v>
      </c>
      <c r="E453" s="1" t="str">
        <f t="shared" si="49"/>
        <v>09</v>
      </c>
      <c r="F453" s="1" t="str">
        <f t="shared" si="50"/>
        <v>Dec</v>
      </c>
      <c r="G453" s="6" t="s">
        <v>23</v>
      </c>
      <c r="H453" s="5">
        <v>2498.09</v>
      </c>
      <c r="I453" s="5" t="str">
        <f>IF(fin_table[[#This Row],[Account Balance]]&lt;20000,"Active", "Not Active")</f>
        <v>Not Active</v>
      </c>
      <c r="J453" s="5">
        <v>20389.689999999999</v>
      </c>
      <c r="K453" s="5" t="str">
        <f t="shared" si="51"/>
        <v>Medium</v>
      </c>
      <c r="L453" s="6" t="s">
        <v>35</v>
      </c>
      <c r="M453">
        <v>35</v>
      </c>
      <c r="N453" s="6" t="str">
        <f t="shared" si="52"/>
        <v>Adults</v>
      </c>
      <c r="O453" s="6" t="s">
        <v>25</v>
      </c>
      <c r="P453" s="6" t="s">
        <v>26</v>
      </c>
      <c r="Q453" t="s">
        <v>1742</v>
      </c>
      <c r="R453" s="6" t="s">
        <v>38</v>
      </c>
      <c r="S453" s="6" t="s">
        <v>44</v>
      </c>
      <c r="T453" s="14">
        <v>2.7E-2</v>
      </c>
      <c r="U453">
        <v>2.7E-2</v>
      </c>
      <c r="V453" t="str">
        <f>IF(fin_table[[#This Row],[Interest Rate(%)]]&gt;4,"high","low")</f>
        <v>low</v>
      </c>
      <c r="W453" s="5">
        <v>12688.71</v>
      </c>
      <c r="X453" s="5">
        <f>fin_table[[#This Row],[Interest Rate]]*fin_table[[#This Row],[Loan Amount]]</f>
        <v>342.59517</v>
      </c>
      <c r="Y453">
        <v>17</v>
      </c>
      <c r="Z453" s="3">
        <v>496</v>
      </c>
      <c r="AA453" s="3" t="str">
        <f t="shared" si="53"/>
        <v>Poor</v>
      </c>
      <c r="AB453" s="3" cm="1">
        <f t="array" ref="AB453">_xlfn.IFS(fin_table[[#This Row],[Transaction Status]]="Failed", 1, fin_table[[#This Row],[Transaction Status]]="Completed",0,fin_table[[#This Row],[Transaction Status]]="Pending",2)</f>
        <v>0</v>
      </c>
      <c r="AC453" s="3" t="str">
        <f>IF(fin_table[[#This Row],[Loan Defaulters]]=1,"Default", "Good")</f>
        <v>Good</v>
      </c>
      <c r="AD453" s="3">
        <f t="shared" si="54"/>
        <v>1</v>
      </c>
      <c r="AE453" s="4">
        <v>12546.76</v>
      </c>
      <c r="AF453" s="4" t="str">
        <f>IF(fin_table[[#This Row],[Monthly Income]]&lt;3000, "Low Income", IF(fin_table[[#This Row],[Monthly Income]]&lt;=5000, "Middle Income", "High Income"))</f>
        <v>High Income</v>
      </c>
      <c r="AG453" t="s">
        <v>63</v>
      </c>
      <c r="AH453" t="s">
        <v>3636</v>
      </c>
      <c r="AI453" t="str">
        <f t="shared" si="55"/>
        <v>Low-Risk</v>
      </c>
    </row>
    <row r="454" spans="1:35" x14ac:dyDescent="0.35">
      <c r="A454" t="s">
        <v>1743</v>
      </c>
      <c r="B454" t="s">
        <v>1744</v>
      </c>
      <c r="C454" t="s">
        <v>1745</v>
      </c>
      <c r="D454" s="1">
        <v>44780</v>
      </c>
      <c r="E454" s="1" t="str">
        <f t="shared" si="49"/>
        <v>07</v>
      </c>
      <c r="F454" s="1" t="str">
        <f t="shared" si="50"/>
        <v>Aug</v>
      </c>
      <c r="G454" s="6" t="s">
        <v>34</v>
      </c>
      <c r="H454" s="5">
        <v>4834.7700000000004</v>
      </c>
      <c r="I454" s="5" t="str">
        <f>IF(fin_table[[#This Row],[Account Balance]]&lt;20000,"Active", "Not Active")</f>
        <v>Not Active</v>
      </c>
      <c r="J454" s="5">
        <v>36044.14</v>
      </c>
      <c r="K454" s="5" t="str">
        <f t="shared" si="51"/>
        <v>Medium</v>
      </c>
      <c r="L454" s="6" t="s">
        <v>125</v>
      </c>
      <c r="M454">
        <v>33</v>
      </c>
      <c r="N454" s="6" t="str">
        <f t="shared" si="52"/>
        <v>Adults</v>
      </c>
      <c r="O454" s="6" t="s">
        <v>42</v>
      </c>
      <c r="P454" s="6" t="s">
        <v>50</v>
      </c>
      <c r="Q454" t="s">
        <v>1746</v>
      </c>
      <c r="R454" s="6" t="s">
        <v>52</v>
      </c>
      <c r="S454" s="6" t="s">
        <v>62</v>
      </c>
      <c r="T454" s="14">
        <v>2.6700000000000002E-2</v>
      </c>
      <c r="U454">
        <v>2.67</v>
      </c>
      <c r="V454" t="str">
        <f>IF(fin_table[[#This Row],[Interest Rate(%)]]&gt;4,"high","low")</f>
        <v>low</v>
      </c>
      <c r="W454" s="5">
        <v>26681.654999999999</v>
      </c>
      <c r="X454" s="5">
        <f>fin_table[[#This Row],[Interest Rate]]*fin_table[[#This Row],[Loan Amount]]</f>
        <v>712.40018850000001</v>
      </c>
      <c r="Y454">
        <v>6</v>
      </c>
      <c r="Z454" s="3">
        <v>825</v>
      </c>
      <c r="AA454" s="3" t="str">
        <f t="shared" si="53"/>
        <v>Excellent</v>
      </c>
      <c r="AB454" s="3" cm="1">
        <f t="array" ref="AB454">_xlfn.IFS(fin_table[[#This Row],[Transaction Status]]="Failed", 1, fin_table[[#This Row],[Transaction Status]]="Completed",0,fin_table[[#This Row],[Transaction Status]]="Pending",2)</f>
        <v>2</v>
      </c>
      <c r="AC454" s="3" t="str">
        <f>IF(fin_table[[#This Row],[Loan Defaulters]]=1,"Default", "Good")</f>
        <v>Good</v>
      </c>
      <c r="AD454" s="3">
        <f t="shared" si="54"/>
        <v>5</v>
      </c>
      <c r="AE454" s="4">
        <v>4813.76</v>
      </c>
      <c r="AF454" s="4" t="str">
        <f>IF(fin_table[[#This Row],[Monthly Income]]&lt;3000, "Low Income", IF(fin_table[[#This Row],[Monthly Income]]&lt;=5000, "Middle Income", "High Income"))</f>
        <v>Middle Income</v>
      </c>
      <c r="AG454" t="s">
        <v>30</v>
      </c>
      <c r="AH454" t="s">
        <v>3635</v>
      </c>
      <c r="AI454" t="str">
        <f t="shared" si="55"/>
        <v>Low-Risk</v>
      </c>
    </row>
    <row r="455" spans="1:35" x14ac:dyDescent="0.35">
      <c r="A455" t="s">
        <v>1747</v>
      </c>
      <c r="B455" t="s">
        <v>1748</v>
      </c>
      <c r="C455" t="s">
        <v>1749</v>
      </c>
      <c r="D455" s="1">
        <v>44794</v>
      </c>
      <c r="E455" s="1" t="str">
        <f t="shared" si="49"/>
        <v>21</v>
      </c>
      <c r="F455" s="1" t="str">
        <f t="shared" si="50"/>
        <v>Aug</v>
      </c>
      <c r="G455" s="6" t="s">
        <v>56</v>
      </c>
      <c r="H455" s="5">
        <v>1537.45</v>
      </c>
      <c r="I455" s="5" t="str">
        <f>IF(fin_table[[#This Row],[Account Balance]]&lt;20000,"Active", "Not Active")</f>
        <v>Active</v>
      </c>
      <c r="J455" s="5">
        <v>14814.03</v>
      </c>
      <c r="K455" s="5" t="str">
        <f t="shared" si="51"/>
        <v>Medium</v>
      </c>
      <c r="L455" s="6" t="s">
        <v>49</v>
      </c>
      <c r="M455">
        <v>57</v>
      </c>
      <c r="N455" s="6" t="str">
        <f t="shared" si="52"/>
        <v>Older Adults</v>
      </c>
      <c r="O455" s="6" t="s">
        <v>25</v>
      </c>
      <c r="P455" s="6" t="s">
        <v>26</v>
      </c>
      <c r="Q455" t="s">
        <v>226</v>
      </c>
      <c r="R455" s="6" t="s">
        <v>38</v>
      </c>
      <c r="S455" s="6" t="s">
        <v>44</v>
      </c>
      <c r="T455" s="14">
        <v>3.6600000000000001E-2</v>
      </c>
      <c r="U455">
        <v>3.66</v>
      </c>
      <c r="V455" t="str">
        <f>IF(fin_table[[#This Row],[Interest Rate(%)]]&gt;4,"high","low")</f>
        <v>low</v>
      </c>
      <c r="W455" s="5">
        <v>26681.654999999999</v>
      </c>
      <c r="X455" s="5">
        <f>fin_table[[#This Row],[Interest Rate]]*fin_table[[#This Row],[Loan Amount]]</f>
        <v>976.54857299999992</v>
      </c>
      <c r="Y455">
        <v>15</v>
      </c>
      <c r="Z455" s="3">
        <v>686</v>
      </c>
      <c r="AA455" s="3" t="str">
        <f t="shared" si="53"/>
        <v>Good</v>
      </c>
      <c r="AB455" s="3" cm="1">
        <f t="array" ref="AB455">_xlfn.IFS(fin_table[[#This Row],[Transaction Status]]="Failed", 1, fin_table[[#This Row],[Transaction Status]]="Completed",0,fin_table[[#This Row],[Transaction Status]]="Pending",2)</f>
        <v>0</v>
      </c>
      <c r="AC455" s="3" t="str">
        <f>IF(fin_table[[#This Row],[Loan Defaulters]]=1,"Default", "Good")</f>
        <v>Good</v>
      </c>
      <c r="AD455" s="3">
        <f t="shared" si="54"/>
        <v>3</v>
      </c>
      <c r="AE455" s="4">
        <v>12438.09</v>
      </c>
      <c r="AF455" s="4" t="str">
        <f>IF(fin_table[[#This Row],[Monthly Income]]&lt;3000, "Low Income", IF(fin_table[[#This Row],[Monthly Income]]&lt;=5000, "Middle Income", "High Income"))</f>
        <v>High Income</v>
      </c>
      <c r="AG455" t="s">
        <v>30</v>
      </c>
      <c r="AH455" t="s">
        <v>3635</v>
      </c>
      <c r="AI455" t="str">
        <f t="shared" si="55"/>
        <v>Low-Risk</v>
      </c>
    </row>
    <row r="456" spans="1:35" x14ac:dyDescent="0.35">
      <c r="A456" t="s">
        <v>1750</v>
      </c>
      <c r="B456" t="s">
        <v>1751</v>
      </c>
      <c r="C456" t="s">
        <v>1752</v>
      </c>
      <c r="D456" s="1">
        <v>44934</v>
      </c>
      <c r="E456" s="1" t="str">
        <f t="shared" si="49"/>
        <v>08</v>
      </c>
      <c r="F456" s="1" t="str">
        <f t="shared" si="50"/>
        <v>Jan</v>
      </c>
      <c r="G456" s="6" t="s">
        <v>34</v>
      </c>
      <c r="H456" s="5">
        <v>7130.09</v>
      </c>
      <c r="I456" s="5" t="str">
        <f>IF(fin_table[[#This Row],[Account Balance]]&lt;20000,"Active", "Not Active")</f>
        <v>Active</v>
      </c>
      <c r="J456" s="5">
        <v>18826.669999999998</v>
      </c>
      <c r="K456" s="5" t="str">
        <f t="shared" si="51"/>
        <v>Medium</v>
      </c>
      <c r="L456" s="6" t="s">
        <v>100</v>
      </c>
      <c r="M456">
        <v>53</v>
      </c>
      <c r="N456" s="6" t="str">
        <f t="shared" si="52"/>
        <v>Older Adults</v>
      </c>
      <c r="O456" s="6" t="s">
        <v>25</v>
      </c>
      <c r="P456" s="6" t="s">
        <v>36</v>
      </c>
      <c r="Q456" t="s">
        <v>1753</v>
      </c>
      <c r="R456" s="6" t="s">
        <v>52</v>
      </c>
      <c r="S456" s="6" t="s">
        <v>62</v>
      </c>
      <c r="T456" s="14">
        <v>2.9600000000000001E-2</v>
      </c>
      <c r="U456">
        <v>2.96</v>
      </c>
      <c r="V456" t="str">
        <f>IF(fin_table[[#This Row],[Interest Rate(%)]]&gt;4,"high","low")</f>
        <v>low</v>
      </c>
      <c r="W456" s="5">
        <v>26681.654999999999</v>
      </c>
      <c r="X456" s="5">
        <f>fin_table[[#This Row],[Interest Rate]]*fin_table[[#This Row],[Loan Amount]]</f>
        <v>789.77698799999996</v>
      </c>
      <c r="Y456">
        <v>15</v>
      </c>
      <c r="Z456" s="3">
        <v>707</v>
      </c>
      <c r="AA456" s="3" t="str">
        <f t="shared" si="53"/>
        <v>Good</v>
      </c>
      <c r="AB456" s="3" cm="1">
        <f t="array" ref="AB456">_xlfn.IFS(fin_table[[#This Row],[Transaction Status]]="Failed", 1, fin_table[[#This Row],[Transaction Status]]="Completed",0,fin_table[[#This Row],[Transaction Status]]="Pending",2)</f>
        <v>2</v>
      </c>
      <c r="AC456" s="3" t="str">
        <f>IF(fin_table[[#This Row],[Loan Defaulters]]=1,"Default", "Good")</f>
        <v>Good</v>
      </c>
      <c r="AD456" s="3">
        <f t="shared" si="54"/>
        <v>3</v>
      </c>
      <c r="AE456" s="4">
        <v>7195.3</v>
      </c>
      <c r="AF456" s="4" t="str">
        <f>IF(fin_table[[#This Row],[Monthly Income]]&lt;3000, "Low Income", IF(fin_table[[#This Row],[Monthly Income]]&lt;=5000, "Middle Income", "High Income"))</f>
        <v>High Income</v>
      </c>
      <c r="AG456" t="s">
        <v>30</v>
      </c>
      <c r="AH456" t="s">
        <v>3635</v>
      </c>
      <c r="AI456" t="str">
        <f t="shared" si="55"/>
        <v>Low-Risk</v>
      </c>
    </row>
    <row r="457" spans="1:35" x14ac:dyDescent="0.35">
      <c r="A457" t="s">
        <v>1754</v>
      </c>
      <c r="B457" t="s">
        <v>1755</v>
      </c>
      <c r="C457" t="s">
        <v>1756</v>
      </c>
      <c r="D457" s="1">
        <v>45054</v>
      </c>
      <c r="E457" s="1" t="str">
        <f t="shared" si="49"/>
        <v>08</v>
      </c>
      <c r="F457" s="1" t="str">
        <f t="shared" si="50"/>
        <v>May</v>
      </c>
      <c r="G457" s="6" t="s">
        <v>56</v>
      </c>
      <c r="H457" s="5">
        <v>6701.86</v>
      </c>
      <c r="I457" s="5" t="str">
        <f>IF(fin_table[[#This Row],[Account Balance]]&lt;20000,"Active", "Not Active")</f>
        <v>Active</v>
      </c>
      <c r="J457" s="5">
        <v>10345.57</v>
      </c>
      <c r="K457" s="5" t="str">
        <f t="shared" si="51"/>
        <v>Medium</v>
      </c>
      <c r="L457" s="6" t="s">
        <v>35</v>
      </c>
      <c r="M457">
        <v>42</v>
      </c>
      <c r="N457" s="6" t="str">
        <f t="shared" si="52"/>
        <v>Middle-Aged</v>
      </c>
      <c r="O457" s="6" t="s">
        <v>25</v>
      </c>
      <c r="P457" s="6" t="s">
        <v>50</v>
      </c>
      <c r="Q457" t="s">
        <v>906</v>
      </c>
      <c r="R457" s="6" t="s">
        <v>38</v>
      </c>
      <c r="S457" s="6" t="s">
        <v>44</v>
      </c>
      <c r="T457" s="14">
        <v>3.0700000000000002E-2</v>
      </c>
      <c r="U457">
        <v>3.07</v>
      </c>
      <c r="V457" t="str">
        <f>IF(fin_table[[#This Row],[Interest Rate(%)]]&gt;4,"high","low")</f>
        <v>low</v>
      </c>
      <c r="W457" s="5">
        <v>26681.654999999999</v>
      </c>
      <c r="X457" s="5">
        <f>fin_table[[#This Row],[Interest Rate]]*fin_table[[#This Row],[Loan Amount]]</f>
        <v>819.12680850000004</v>
      </c>
      <c r="Y457">
        <v>25</v>
      </c>
      <c r="Z457" s="3">
        <v>568</v>
      </c>
      <c r="AA457" s="3" t="str">
        <f t="shared" si="53"/>
        <v>Poor</v>
      </c>
      <c r="AB457" s="3" cm="1">
        <f t="array" ref="AB457">_xlfn.IFS(fin_table[[#This Row],[Transaction Status]]="Failed", 1, fin_table[[#This Row],[Transaction Status]]="Completed",0,fin_table[[#This Row],[Transaction Status]]="Pending",2)</f>
        <v>0</v>
      </c>
      <c r="AC457" s="3" t="str">
        <f>IF(fin_table[[#This Row],[Loan Defaulters]]=1,"Default", "Good")</f>
        <v>Good</v>
      </c>
      <c r="AD457" s="3">
        <f t="shared" si="54"/>
        <v>1</v>
      </c>
      <c r="AE457" s="4">
        <v>4455.88</v>
      </c>
      <c r="AF457" s="4" t="str">
        <f>IF(fin_table[[#This Row],[Monthly Income]]&lt;3000, "Low Income", IF(fin_table[[#This Row],[Monthly Income]]&lt;=5000, "Middle Income", "High Income"))</f>
        <v>Middle Income</v>
      </c>
      <c r="AG457" t="s">
        <v>45</v>
      </c>
      <c r="AH457" t="s">
        <v>3635</v>
      </c>
      <c r="AI457" t="str">
        <f t="shared" si="55"/>
        <v>Low-Risk</v>
      </c>
    </row>
    <row r="458" spans="1:35" x14ac:dyDescent="0.35">
      <c r="A458" t="s">
        <v>1757</v>
      </c>
      <c r="B458" t="s">
        <v>1758</v>
      </c>
      <c r="C458" t="s">
        <v>1759</v>
      </c>
      <c r="D458" s="1">
        <v>44883</v>
      </c>
      <c r="E458" s="1" t="str">
        <f t="shared" si="49"/>
        <v>18</v>
      </c>
      <c r="F458" s="1" t="str">
        <f t="shared" si="50"/>
        <v>Nov</v>
      </c>
      <c r="G458" s="6" t="s">
        <v>71</v>
      </c>
      <c r="H458" s="5">
        <v>2190.0100000000002</v>
      </c>
      <c r="I458" s="5" t="str">
        <f>IF(fin_table[[#This Row],[Account Balance]]&lt;20000,"Active", "Not Active")</f>
        <v>Active</v>
      </c>
      <c r="J458" s="5">
        <v>18006.060000000001</v>
      </c>
      <c r="K458" s="5" t="str">
        <f t="shared" si="51"/>
        <v>Medium</v>
      </c>
      <c r="L458" s="6" t="s">
        <v>100</v>
      </c>
      <c r="M458">
        <v>40</v>
      </c>
      <c r="N458" s="6" t="str">
        <f t="shared" si="52"/>
        <v>Middle-Aged</v>
      </c>
      <c r="O458" s="6" t="s">
        <v>42</v>
      </c>
      <c r="P458" s="6" t="s">
        <v>36</v>
      </c>
      <c r="Q458" t="s">
        <v>562</v>
      </c>
      <c r="R458" s="6" t="s">
        <v>38</v>
      </c>
      <c r="S458" s="6" t="s">
        <v>62</v>
      </c>
      <c r="T458" s="14">
        <v>2.7300000000000001E-2</v>
      </c>
      <c r="U458">
        <v>2.73</v>
      </c>
      <c r="V458" t="str">
        <f>IF(fin_table[[#This Row],[Interest Rate(%)]]&gt;4,"high","low")</f>
        <v>low</v>
      </c>
      <c r="W458" s="5">
        <v>27256.54</v>
      </c>
      <c r="X458" s="5">
        <f>fin_table[[#This Row],[Interest Rate]]*fin_table[[#This Row],[Loan Amount]]</f>
        <v>744.10354200000006</v>
      </c>
      <c r="Y458">
        <v>13</v>
      </c>
      <c r="Z458" s="3">
        <v>470</v>
      </c>
      <c r="AA458" s="3" t="str">
        <f t="shared" si="53"/>
        <v>Poor</v>
      </c>
      <c r="AB458" s="3" cm="1">
        <f t="array" ref="AB458">_xlfn.IFS(fin_table[[#This Row],[Transaction Status]]="Failed", 1, fin_table[[#This Row],[Transaction Status]]="Completed",0,fin_table[[#This Row],[Transaction Status]]="Pending",2)</f>
        <v>2</v>
      </c>
      <c r="AC458" s="3" t="str">
        <f>IF(fin_table[[#This Row],[Loan Defaulters]]=1,"Default", "Good")</f>
        <v>Good</v>
      </c>
      <c r="AD458" s="3">
        <f t="shared" si="54"/>
        <v>1</v>
      </c>
      <c r="AE458" s="4">
        <v>11866.82</v>
      </c>
      <c r="AF458" s="4" t="str">
        <f>IF(fin_table[[#This Row],[Monthly Income]]&lt;3000, "Low Income", IF(fin_table[[#This Row],[Monthly Income]]&lt;=5000, "Middle Income", "High Income"))</f>
        <v>High Income</v>
      </c>
      <c r="AG458" t="s">
        <v>63</v>
      </c>
      <c r="AH458" t="s">
        <v>3636</v>
      </c>
      <c r="AI458" t="str">
        <f t="shared" si="55"/>
        <v>Low-Risk</v>
      </c>
    </row>
    <row r="459" spans="1:35" x14ac:dyDescent="0.35">
      <c r="A459" t="s">
        <v>1760</v>
      </c>
      <c r="B459" t="s">
        <v>1761</v>
      </c>
      <c r="C459" t="s">
        <v>1762</v>
      </c>
      <c r="D459" s="1">
        <v>44704</v>
      </c>
      <c r="E459" s="1" t="str">
        <f t="shared" si="49"/>
        <v>23</v>
      </c>
      <c r="F459" s="1" t="str">
        <f t="shared" si="50"/>
        <v>May</v>
      </c>
      <c r="G459" s="6" t="s">
        <v>23</v>
      </c>
      <c r="H459" s="5">
        <v>8647.67</v>
      </c>
      <c r="I459" s="5" t="str">
        <f>IF(fin_table[[#This Row],[Account Balance]]&lt;20000,"Active", "Not Active")</f>
        <v>Not Active</v>
      </c>
      <c r="J459" s="5">
        <v>27814.639999999999</v>
      </c>
      <c r="K459" s="5" t="str">
        <f t="shared" si="51"/>
        <v>Medium</v>
      </c>
      <c r="L459" s="6" t="s">
        <v>125</v>
      </c>
      <c r="M459">
        <v>29</v>
      </c>
      <c r="N459" s="6" t="str">
        <f t="shared" si="52"/>
        <v>Adults</v>
      </c>
      <c r="O459" s="6" t="s">
        <v>42</v>
      </c>
      <c r="P459" s="6" t="s">
        <v>26</v>
      </c>
      <c r="Q459" t="s">
        <v>1763</v>
      </c>
      <c r="R459" s="6" t="s">
        <v>52</v>
      </c>
      <c r="S459" s="6" t="s">
        <v>62</v>
      </c>
      <c r="T459" s="14">
        <v>4.9700000000000001E-2</v>
      </c>
      <c r="U459">
        <v>4.97</v>
      </c>
      <c r="V459" t="str">
        <f>IF(fin_table[[#This Row],[Interest Rate(%)]]&gt;4,"high","low")</f>
        <v>high</v>
      </c>
      <c r="W459" s="5">
        <v>26681.654999999999</v>
      </c>
      <c r="X459" s="5">
        <f>fin_table[[#This Row],[Interest Rate]]*fin_table[[#This Row],[Loan Amount]]</f>
        <v>1326.0782535000001</v>
      </c>
      <c r="Y459">
        <v>13</v>
      </c>
      <c r="Z459" s="3">
        <v>469</v>
      </c>
      <c r="AA459" s="3" t="str">
        <f t="shared" si="53"/>
        <v>Poor</v>
      </c>
      <c r="AB459" s="3" cm="1">
        <f t="array" ref="AB459">_xlfn.IFS(fin_table[[#This Row],[Transaction Status]]="Failed", 1, fin_table[[#This Row],[Transaction Status]]="Completed",0,fin_table[[#This Row],[Transaction Status]]="Pending",2)</f>
        <v>2</v>
      </c>
      <c r="AC459" s="3" t="str">
        <f>IF(fin_table[[#This Row],[Loan Defaulters]]=1,"Default", "Good")</f>
        <v>Good</v>
      </c>
      <c r="AD459" s="3">
        <f t="shared" si="54"/>
        <v>1</v>
      </c>
      <c r="AE459" s="4">
        <v>3181.69</v>
      </c>
      <c r="AF459" s="4" t="str">
        <f>IF(fin_table[[#This Row],[Monthly Income]]&lt;3000, "Low Income", IF(fin_table[[#This Row],[Monthly Income]]&lt;=5000, "Middle Income", "High Income"))</f>
        <v>Middle Income</v>
      </c>
      <c r="AG459" t="s">
        <v>45</v>
      </c>
      <c r="AH459" t="s">
        <v>3635</v>
      </c>
      <c r="AI459" t="str">
        <f t="shared" si="55"/>
        <v>Low-Risk</v>
      </c>
    </row>
    <row r="460" spans="1:35" x14ac:dyDescent="0.35">
      <c r="A460" t="s">
        <v>1764</v>
      </c>
      <c r="B460" t="s">
        <v>1765</v>
      </c>
      <c r="C460" t="s">
        <v>1766</v>
      </c>
      <c r="D460" s="1">
        <v>44992</v>
      </c>
      <c r="E460" s="1" t="str">
        <f t="shared" si="49"/>
        <v>07</v>
      </c>
      <c r="F460" s="1" t="str">
        <f t="shared" si="50"/>
        <v>Mar</v>
      </c>
      <c r="G460" s="6" t="s">
        <v>34</v>
      </c>
      <c r="H460" s="5">
        <v>4072.93</v>
      </c>
      <c r="I460" s="5" t="str">
        <f>IF(fin_table[[#This Row],[Account Balance]]&lt;20000,"Active", "Not Active")</f>
        <v>Not Active</v>
      </c>
      <c r="J460" s="5">
        <v>49596.87</v>
      </c>
      <c r="K460" s="5" t="str">
        <f t="shared" si="51"/>
        <v>Medium</v>
      </c>
      <c r="L460" s="6" t="s">
        <v>35</v>
      </c>
      <c r="M460">
        <v>51</v>
      </c>
      <c r="N460" s="6" t="str">
        <f t="shared" si="52"/>
        <v>Older Adults</v>
      </c>
      <c r="O460" s="6" t="s">
        <v>42</v>
      </c>
      <c r="P460" s="6" t="s">
        <v>36</v>
      </c>
      <c r="Q460" t="s">
        <v>1767</v>
      </c>
      <c r="R460" s="6" t="s">
        <v>38</v>
      </c>
      <c r="S460" s="6" t="s">
        <v>29</v>
      </c>
      <c r="T460" s="14">
        <v>4.7100000000000003E-2</v>
      </c>
      <c r="U460">
        <v>4.71</v>
      </c>
      <c r="V460" t="str">
        <f>IF(fin_table[[#This Row],[Interest Rate(%)]]&gt;4,"high","low")</f>
        <v>high</v>
      </c>
      <c r="W460" s="5">
        <v>22189.26</v>
      </c>
      <c r="X460" s="5">
        <f>fin_table[[#This Row],[Interest Rate]]*fin_table[[#This Row],[Loan Amount]]</f>
        <v>1045.1141459999999</v>
      </c>
      <c r="Y460">
        <v>19</v>
      </c>
      <c r="Z460" s="3">
        <v>458</v>
      </c>
      <c r="AA460" s="3" t="str">
        <f t="shared" si="53"/>
        <v>Poor</v>
      </c>
      <c r="AB460" s="3" cm="1">
        <f t="array" ref="AB460">_xlfn.IFS(fin_table[[#This Row],[Transaction Status]]="Failed", 1, fin_table[[#This Row],[Transaction Status]]="Completed",0,fin_table[[#This Row],[Transaction Status]]="Pending",2)</f>
        <v>1</v>
      </c>
      <c r="AC460" s="3" t="str">
        <f>IF(fin_table[[#This Row],[Loan Defaulters]]=1,"Default", "Good")</f>
        <v>Default</v>
      </c>
      <c r="AD460" s="3">
        <f t="shared" si="54"/>
        <v>1</v>
      </c>
      <c r="AE460" s="4">
        <v>8691.98</v>
      </c>
      <c r="AF460" s="4" t="str">
        <f>IF(fin_table[[#This Row],[Monthly Income]]&lt;3000, "Low Income", IF(fin_table[[#This Row],[Monthly Income]]&lt;=5000, "Middle Income", "High Income"))</f>
        <v>High Income</v>
      </c>
      <c r="AG460" t="s">
        <v>30</v>
      </c>
      <c r="AH460" t="s">
        <v>3636</v>
      </c>
      <c r="AI460" t="str">
        <f t="shared" si="55"/>
        <v>Low-Risk</v>
      </c>
    </row>
    <row r="461" spans="1:35" x14ac:dyDescent="0.35">
      <c r="A461" t="s">
        <v>1768</v>
      </c>
      <c r="B461" t="s">
        <v>1769</v>
      </c>
      <c r="C461" t="s">
        <v>1770</v>
      </c>
      <c r="D461" s="1">
        <v>44758</v>
      </c>
      <c r="E461" s="1" t="str">
        <f t="shared" si="49"/>
        <v>16</v>
      </c>
      <c r="F461" s="1" t="str">
        <f t="shared" si="50"/>
        <v>Jul</v>
      </c>
      <c r="G461" s="6" t="s">
        <v>56</v>
      </c>
      <c r="H461" s="5">
        <v>2995.9</v>
      </c>
      <c r="I461" s="5" t="str">
        <f>IF(fin_table[[#This Row],[Account Balance]]&lt;20000,"Active", "Not Active")</f>
        <v>Not Active</v>
      </c>
      <c r="J461" s="5">
        <v>33545.879999999997</v>
      </c>
      <c r="K461" s="5" t="str">
        <f t="shared" si="51"/>
        <v>Medium</v>
      </c>
      <c r="L461" s="6" t="s">
        <v>24</v>
      </c>
      <c r="M461">
        <v>53</v>
      </c>
      <c r="N461" s="6" t="str">
        <f t="shared" si="52"/>
        <v>Older Adults</v>
      </c>
      <c r="O461" s="6" t="s">
        <v>25</v>
      </c>
      <c r="P461" s="6" t="s">
        <v>36</v>
      </c>
      <c r="Q461" t="s">
        <v>1771</v>
      </c>
      <c r="R461" s="6" t="s">
        <v>52</v>
      </c>
      <c r="S461" s="6" t="s">
        <v>44</v>
      </c>
      <c r="T461" s="14">
        <v>2.23E-2</v>
      </c>
      <c r="U461">
        <v>2.23</v>
      </c>
      <c r="V461" t="str">
        <f>IF(fin_table[[#This Row],[Interest Rate(%)]]&gt;4,"high","low")</f>
        <v>low</v>
      </c>
      <c r="W461" s="5">
        <v>26681.654999999999</v>
      </c>
      <c r="X461" s="5">
        <f>fin_table[[#This Row],[Interest Rate]]*fin_table[[#This Row],[Loan Amount]]</f>
        <v>595.00090649999993</v>
      </c>
      <c r="Y461">
        <v>13</v>
      </c>
      <c r="Z461" s="3">
        <v>808</v>
      </c>
      <c r="AA461" s="3" t="str">
        <f t="shared" si="53"/>
        <v>Excellent</v>
      </c>
      <c r="AB461" s="3" cm="1">
        <f t="array" ref="AB461">_xlfn.IFS(fin_table[[#This Row],[Transaction Status]]="Failed", 1, fin_table[[#This Row],[Transaction Status]]="Completed",0,fin_table[[#This Row],[Transaction Status]]="Pending",2)</f>
        <v>0</v>
      </c>
      <c r="AC461" s="3" t="str">
        <f>IF(fin_table[[#This Row],[Loan Defaulters]]=1,"Default", "Good")</f>
        <v>Good</v>
      </c>
      <c r="AD461" s="3">
        <f t="shared" si="54"/>
        <v>5</v>
      </c>
      <c r="AE461" s="4">
        <v>2830.39</v>
      </c>
      <c r="AF461" s="4" t="str">
        <f>IF(fin_table[[#This Row],[Monthly Income]]&lt;3000, "Low Income", IF(fin_table[[#This Row],[Monthly Income]]&lt;=5000, "Middle Income", "High Income"))</f>
        <v>Low Income</v>
      </c>
      <c r="AG461" t="s">
        <v>63</v>
      </c>
      <c r="AH461" t="s">
        <v>3635</v>
      </c>
      <c r="AI461" t="str">
        <f t="shared" si="55"/>
        <v>Low-Risk</v>
      </c>
    </row>
    <row r="462" spans="1:35" x14ac:dyDescent="0.35">
      <c r="A462" t="s">
        <v>1772</v>
      </c>
      <c r="B462" t="s">
        <v>1773</v>
      </c>
      <c r="C462" t="s">
        <v>1774</v>
      </c>
      <c r="D462" s="1">
        <v>44772</v>
      </c>
      <c r="E462" s="1" t="str">
        <f t="shared" si="49"/>
        <v>30</v>
      </c>
      <c r="F462" s="1" t="str">
        <f t="shared" si="50"/>
        <v>Jul</v>
      </c>
      <c r="G462" s="6" t="s">
        <v>71</v>
      </c>
      <c r="H462" s="5">
        <v>1608.06</v>
      </c>
      <c r="I462" s="5" t="str">
        <f>IF(fin_table[[#This Row],[Account Balance]]&lt;20000,"Active", "Not Active")</f>
        <v>Active</v>
      </c>
      <c r="J462" s="5">
        <v>10763.05</v>
      </c>
      <c r="K462" s="5" t="str">
        <f t="shared" si="51"/>
        <v>Medium</v>
      </c>
      <c r="L462" s="6" t="s">
        <v>49</v>
      </c>
      <c r="M462">
        <v>54</v>
      </c>
      <c r="N462" s="6" t="str">
        <f t="shared" si="52"/>
        <v>Older Adults</v>
      </c>
      <c r="O462" s="6" t="s">
        <v>42</v>
      </c>
      <c r="P462" s="6" t="s">
        <v>36</v>
      </c>
      <c r="Q462" t="s">
        <v>1775</v>
      </c>
      <c r="R462" s="6" t="s">
        <v>28</v>
      </c>
      <c r="S462" s="6" t="s">
        <v>29</v>
      </c>
      <c r="T462" s="14">
        <v>1.4500000000000001E-2</v>
      </c>
      <c r="U462">
        <v>1.45</v>
      </c>
      <c r="V462" t="str">
        <f>IF(fin_table[[#This Row],[Interest Rate(%)]]&gt;4,"high","low")</f>
        <v>low</v>
      </c>
      <c r="W462" s="5">
        <v>26059.34</v>
      </c>
      <c r="X462" s="5">
        <f>fin_table[[#This Row],[Interest Rate]]*fin_table[[#This Row],[Loan Amount]]</f>
        <v>377.86043000000001</v>
      </c>
      <c r="Y462">
        <v>15</v>
      </c>
      <c r="Z462" s="3">
        <v>746</v>
      </c>
      <c r="AA462" s="3" t="str">
        <f t="shared" si="53"/>
        <v>Very Good</v>
      </c>
      <c r="AB462" s="3" cm="1">
        <f t="array" ref="AB462">_xlfn.IFS(fin_table[[#This Row],[Transaction Status]]="Failed", 1, fin_table[[#This Row],[Transaction Status]]="Completed",0,fin_table[[#This Row],[Transaction Status]]="Pending",2)</f>
        <v>1</v>
      </c>
      <c r="AC462" s="3" t="str">
        <f>IF(fin_table[[#This Row],[Loan Defaulters]]=1,"Default", "Good")</f>
        <v>Default</v>
      </c>
      <c r="AD462" s="3">
        <f t="shared" si="54"/>
        <v>4</v>
      </c>
      <c r="AE462" s="4">
        <v>6633.43</v>
      </c>
      <c r="AF462" s="4" t="str">
        <f>IF(fin_table[[#This Row],[Monthly Income]]&lt;3000, "Low Income", IF(fin_table[[#This Row],[Monthly Income]]&lt;=5000, "Middle Income", "High Income"))</f>
        <v>High Income</v>
      </c>
      <c r="AG462" t="s">
        <v>45</v>
      </c>
      <c r="AH462" t="s">
        <v>3636</v>
      </c>
      <c r="AI462" t="str">
        <f t="shared" si="55"/>
        <v>Low-Risk</v>
      </c>
    </row>
    <row r="463" spans="1:35" x14ac:dyDescent="0.35">
      <c r="A463" t="s">
        <v>1776</v>
      </c>
      <c r="B463" t="s">
        <v>1696</v>
      </c>
      <c r="C463" t="s">
        <v>1777</v>
      </c>
      <c r="D463" s="1">
        <v>44703</v>
      </c>
      <c r="E463" s="1" t="str">
        <f t="shared" si="49"/>
        <v>22</v>
      </c>
      <c r="F463" s="1" t="str">
        <f t="shared" si="50"/>
        <v>May</v>
      </c>
      <c r="G463" s="6" t="s">
        <v>71</v>
      </c>
      <c r="H463" s="5">
        <v>2735.06</v>
      </c>
      <c r="I463" s="5" t="str">
        <f>IF(fin_table[[#This Row],[Account Balance]]&lt;20000,"Active", "Not Active")</f>
        <v>Active</v>
      </c>
      <c r="J463" s="5">
        <v>3203.11</v>
      </c>
      <c r="K463" s="5" t="str">
        <f t="shared" si="51"/>
        <v>Low</v>
      </c>
      <c r="L463" s="6" t="s">
        <v>125</v>
      </c>
      <c r="M463">
        <v>20</v>
      </c>
      <c r="N463" s="6" t="str">
        <f t="shared" si="52"/>
        <v>Young Adults</v>
      </c>
      <c r="O463" s="6" t="s">
        <v>25</v>
      </c>
      <c r="P463" s="6" t="s">
        <v>26</v>
      </c>
      <c r="Q463" t="s">
        <v>1778</v>
      </c>
      <c r="R463" s="6" t="s">
        <v>28</v>
      </c>
      <c r="S463" s="6" t="s">
        <v>29</v>
      </c>
      <c r="T463" s="14">
        <v>4.36E-2</v>
      </c>
      <c r="U463">
        <v>4.3600000000000003</v>
      </c>
      <c r="V463" t="str">
        <f>IF(fin_table[[#This Row],[Interest Rate(%)]]&gt;4,"high","low")</f>
        <v>high</v>
      </c>
      <c r="W463" s="5">
        <v>26681.654999999999</v>
      </c>
      <c r="X463" s="5">
        <f>fin_table[[#This Row],[Interest Rate]]*fin_table[[#This Row],[Loan Amount]]</f>
        <v>1163.320158</v>
      </c>
      <c r="Y463">
        <v>3</v>
      </c>
      <c r="Z463" s="3">
        <v>381</v>
      </c>
      <c r="AA463" s="3" t="str">
        <f t="shared" si="53"/>
        <v>Poor</v>
      </c>
      <c r="AB463" s="3" cm="1">
        <f t="array" ref="AB463">_xlfn.IFS(fin_table[[#This Row],[Transaction Status]]="Failed", 1, fin_table[[#This Row],[Transaction Status]]="Completed",0,fin_table[[#This Row],[Transaction Status]]="Pending",2)</f>
        <v>1</v>
      </c>
      <c r="AC463" s="3" t="str">
        <f>IF(fin_table[[#This Row],[Loan Defaulters]]=1,"Default", "Good")</f>
        <v>Default</v>
      </c>
      <c r="AD463" s="3">
        <f t="shared" si="54"/>
        <v>1</v>
      </c>
      <c r="AE463" s="4">
        <v>9814</v>
      </c>
      <c r="AF463" s="4" t="str">
        <f>IF(fin_table[[#This Row],[Monthly Income]]&lt;3000, "Low Income", IF(fin_table[[#This Row],[Monthly Income]]&lt;=5000, "Middle Income", "High Income"))</f>
        <v>High Income</v>
      </c>
      <c r="AG463" t="s">
        <v>30</v>
      </c>
      <c r="AH463" t="s">
        <v>3635</v>
      </c>
      <c r="AI463" t="str">
        <f t="shared" si="55"/>
        <v>Low-Risk</v>
      </c>
    </row>
    <row r="464" spans="1:35" x14ac:dyDescent="0.35">
      <c r="A464" t="s">
        <v>1779</v>
      </c>
      <c r="B464" t="s">
        <v>1780</v>
      </c>
      <c r="C464" t="s">
        <v>1781</v>
      </c>
      <c r="D464" s="1">
        <v>44840</v>
      </c>
      <c r="E464" s="1" t="str">
        <f t="shared" si="49"/>
        <v>06</v>
      </c>
      <c r="F464" s="1" t="str">
        <f t="shared" si="50"/>
        <v>Oct</v>
      </c>
      <c r="G464" s="6" t="s">
        <v>23</v>
      </c>
      <c r="H464" s="5">
        <v>318.07</v>
      </c>
      <c r="I464" s="5" t="str">
        <f>IF(fin_table[[#This Row],[Account Balance]]&lt;20000,"Active", "Not Active")</f>
        <v>Active</v>
      </c>
      <c r="J464" s="5">
        <v>7191.47</v>
      </c>
      <c r="K464" s="5" t="str">
        <f t="shared" si="51"/>
        <v>Low</v>
      </c>
      <c r="L464" s="6" t="s">
        <v>125</v>
      </c>
      <c r="M464">
        <v>26</v>
      </c>
      <c r="N464" s="6" t="str">
        <f t="shared" si="52"/>
        <v>Adults</v>
      </c>
      <c r="O464" s="6" t="s">
        <v>25</v>
      </c>
      <c r="P464" s="6" t="s">
        <v>50</v>
      </c>
      <c r="Q464" t="s">
        <v>1782</v>
      </c>
      <c r="R464" s="6" t="s">
        <v>28</v>
      </c>
      <c r="S464" s="6" t="s">
        <v>44</v>
      </c>
      <c r="T464" s="14">
        <v>4.99E-2</v>
      </c>
      <c r="U464">
        <v>4.99</v>
      </c>
      <c r="V464" t="str">
        <f>IF(fin_table[[#This Row],[Interest Rate(%)]]&gt;4,"high","low")</f>
        <v>high</v>
      </c>
      <c r="W464" s="5">
        <v>26681.654999999999</v>
      </c>
      <c r="X464" s="5">
        <f>fin_table[[#This Row],[Interest Rate]]*fin_table[[#This Row],[Loan Amount]]</f>
        <v>1331.4145845</v>
      </c>
      <c r="Y464">
        <v>13</v>
      </c>
      <c r="Z464" s="3">
        <v>356</v>
      </c>
      <c r="AA464" s="3" t="str">
        <f t="shared" si="53"/>
        <v>Poor</v>
      </c>
      <c r="AB464" s="3" cm="1">
        <f t="array" ref="AB464">_xlfn.IFS(fin_table[[#This Row],[Transaction Status]]="Failed", 1, fin_table[[#This Row],[Transaction Status]]="Completed",0,fin_table[[#This Row],[Transaction Status]]="Pending",2)</f>
        <v>0</v>
      </c>
      <c r="AC464" s="3" t="str">
        <f>IF(fin_table[[#This Row],[Loan Defaulters]]=1,"Default", "Good")</f>
        <v>Good</v>
      </c>
      <c r="AD464" s="3">
        <f t="shared" si="54"/>
        <v>1</v>
      </c>
      <c r="AE464" s="4">
        <v>9229.5</v>
      </c>
      <c r="AF464" s="4" t="str">
        <f>IF(fin_table[[#This Row],[Monthly Income]]&lt;3000, "Low Income", IF(fin_table[[#This Row],[Monthly Income]]&lt;=5000, "Middle Income", "High Income"))</f>
        <v>High Income</v>
      </c>
      <c r="AG464" t="s">
        <v>45</v>
      </c>
      <c r="AH464" t="s">
        <v>3635</v>
      </c>
      <c r="AI464" t="str">
        <f t="shared" si="55"/>
        <v>Low-Risk</v>
      </c>
    </row>
    <row r="465" spans="1:35" x14ac:dyDescent="0.35">
      <c r="A465" t="s">
        <v>1783</v>
      </c>
      <c r="B465" t="s">
        <v>1784</v>
      </c>
      <c r="C465" t="s">
        <v>1785</v>
      </c>
      <c r="D465" s="1">
        <v>44812</v>
      </c>
      <c r="E465" s="1" t="str">
        <f t="shared" si="49"/>
        <v>08</v>
      </c>
      <c r="F465" s="1" t="str">
        <f t="shared" si="50"/>
        <v>Sep</v>
      </c>
      <c r="G465" s="6" t="s">
        <v>56</v>
      </c>
      <c r="H465" s="5">
        <v>5874.25</v>
      </c>
      <c r="I465" s="5" t="str">
        <f>IF(fin_table[[#This Row],[Account Balance]]&lt;20000,"Active", "Not Active")</f>
        <v>Not Active</v>
      </c>
      <c r="J465" s="5">
        <v>28565.200000000001</v>
      </c>
      <c r="K465" s="5" t="str">
        <f t="shared" si="51"/>
        <v>Medium</v>
      </c>
      <c r="L465" s="6" t="s">
        <v>49</v>
      </c>
      <c r="M465">
        <v>35</v>
      </c>
      <c r="N465" s="6" t="str">
        <f t="shared" si="52"/>
        <v>Adults</v>
      </c>
      <c r="O465" s="6" t="s">
        <v>25</v>
      </c>
      <c r="P465" s="6" t="s">
        <v>36</v>
      </c>
      <c r="Q465" t="s">
        <v>1615</v>
      </c>
      <c r="R465" s="6" t="s">
        <v>38</v>
      </c>
      <c r="S465" s="6" t="s">
        <v>62</v>
      </c>
      <c r="T465" s="14">
        <v>2.1700000000000001E-2</v>
      </c>
      <c r="U465">
        <v>2.17</v>
      </c>
      <c r="V465" t="str">
        <f>IF(fin_table[[#This Row],[Interest Rate(%)]]&gt;4,"high","low")</f>
        <v>low</v>
      </c>
      <c r="W465" s="5">
        <v>26681.654999999999</v>
      </c>
      <c r="X465" s="5">
        <f>fin_table[[#This Row],[Interest Rate]]*fin_table[[#This Row],[Loan Amount]]</f>
        <v>578.99191350000001</v>
      </c>
      <c r="Y465">
        <v>25</v>
      </c>
      <c r="Z465" s="3">
        <v>818</v>
      </c>
      <c r="AA465" s="3" t="str">
        <f t="shared" si="53"/>
        <v>Excellent</v>
      </c>
      <c r="AB465" s="3" cm="1">
        <f t="array" ref="AB465">_xlfn.IFS(fin_table[[#This Row],[Transaction Status]]="Failed", 1, fin_table[[#This Row],[Transaction Status]]="Completed",0,fin_table[[#This Row],[Transaction Status]]="Pending",2)</f>
        <v>2</v>
      </c>
      <c r="AC465" s="3" t="str">
        <f>IF(fin_table[[#This Row],[Loan Defaulters]]=1,"Default", "Good")</f>
        <v>Good</v>
      </c>
      <c r="AD465" s="3">
        <f t="shared" si="54"/>
        <v>5</v>
      </c>
      <c r="AE465" s="4">
        <v>7260.52</v>
      </c>
      <c r="AF465" s="4" t="str">
        <f>IF(fin_table[[#This Row],[Monthly Income]]&lt;3000, "Low Income", IF(fin_table[[#This Row],[Monthly Income]]&lt;=5000, "Middle Income", "High Income"))</f>
        <v>High Income</v>
      </c>
      <c r="AG465" t="s">
        <v>45</v>
      </c>
      <c r="AH465" t="s">
        <v>3635</v>
      </c>
      <c r="AI465" t="str">
        <f t="shared" si="55"/>
        <v>Low-Risk</v>
      </c>
    </row>
    <row r="466" spans="1:35" x14ac:dyDescent="0.35">
      <c r="A466" t="s">
        <v>1786</v>
      </c>
      <c r="B466" t="s">
        <v>680</v>
      </c>
      <c r="C466" t="s">
        <v>1787</v>
      </c>
      <c r="D466" s="1">
        <v>44702</v>
      </c>
      <c r="E466" s="1" t="str">
        <f t="shared" si="49"/>
        <v>21</v>
      </c>
      <c r="F466" s="1" t="str">
        <f t="shared" si="50"/>
        <v>May</v>
      </c>
      <c r="G466" s="6" t="s">
        <v>34</v>
      </c>
      <c r="H466" s="5">
        <v>8438.08</v>
      </c>
      <c r="I466" s="5" t="str">
        <f>IF(fin_table[[#This Row],[Account Balance]]&lt;20000,"Active", "Not Active")</f>
        <v>Not Active</v>
      </c>
      <c r="J466" s="5">
        <v>38492.86</v>
      </c>
      <c r="K466" s="5" t="str">
        <f t="shared" si="51"/>
        <v>Medium</v>
      </c>
      <c r="L466" s="6" t="s">
        <v>49</v>
      </c>
      <c r="M466">
        <v>60</v>
      </c>
      <c r="N466" s="6" t="str">
        <f t="shared" si="52"/>
        <v>Older Adults</v>
      </c>
      <c r="O466" s="6" t="s">
        <v>42</v>
      </c>
      <c r="P466" s="6" t="s">
        <v>50</v>
      </c>
      <c r="Q466" t="s">
        <v>1788</v>
      </c>
      <c r="R466" s="6" t="s">
        <v>28</v>
      </c>
      <c r="S466" s="6" t="s">
        <v>29</v>
      </c>
      <c r="T466" s="14">
        <v>2.4299999999999999E-2</v>
      </c>
      <c r="U466">
        <v>2.4300000000000002</v>
      </c>
      <c r="V466" t="str">
        <f>IF(fin_table[[#This Row],[Interest Rate(%)]]&gt;4,"high","low")</f>
        <v>low</v>
      </c>
      <c r="W466" s="5">
        <v>22018.76</v>
      </c>
      <c r="X466" s="5">
        <f>fin_table[[#This Row],[Interest Rate]]*fin_table[[#This Row],[Loan Amount]]</f>
        <v>535.05586799999992</v>
      </c>
      <c r="Y466">
        <v>8</v>
      </c>
      <c r="Z466" s="3">
        <v>411</v>
      </c>
      <c r="AA466" s="3" t="str">
        <f t="shared" si="53"/>
        <v>Poor</v>
      </c>
      <c r="AB466" s="3" cm="1">
        <f t="array" ref="AB466">_xlfn.IFS(fin_table[[#This Row],[Transaction Status]]="Failed", 1, fin_table[[#This Row],[Transaction Status]]="Completed",0,fin_table[[#This Row],[Transaction Status]]="Pending",2)</f>
        <v>1</v>
      </c>
      <c r="AC466" s="3" t="str">
        <f>IF(fin_table[[#This Row],[Loan Defaulters]]=1,"Default", "Good")</f>
        <v>Default</v>
      </c>
      <c r="AD466" s="3">
        <f t="shared" si="54"/>
        <v>1</v>
      </c>
      <c r="AE466" s="4">
        <v>7577.62</v>
      </c>
      <c r="AF466" s="4" t="str">
        <f>IF(fin_table[[#This Row],[Monthly Income]]&lt;3000, "Low Income", IF(fin_table[[#This Row],[Monthly Income]]&lt;=5000, "Middle Income", "High Income"))</f>
        <v>High Income</v>
      </c>
      <c r="AG466" t="s">
        <v>63</v>
      </c>
      <c r="AH466" t="s">
        <v>3636</v>
      </c>
      <c r="AI466" t="str">
        <f t="shared" si="55"/>
        <v>Low-Risk</v>
      </c>
    </row>
    <row r="467" spans="1:35" x14ac:dyDescent="0.35">
      <c r="A467" t="s">
        <v>1789</v>
      </c>
      <c r="B467" t="s">
        <v>1790</v>
      </c>
      <c r="C467" t="s">
        <v>1791</v>
      </c>
      <c r="D467" s="1">
        <v>44615</v>
      </c>
      <c r="E467" s="1" t="str">
        <f t="shared" si="49"/>
        <v>23</v>
      </c>
      <c r="F467" s="1" t="str">
        <f t="shared" si="50"/>
        <v>Feb</v>
      </c>
      <c r="G467" s="6" t="s">
        <v>23</v>
      </c>
      <c r="H467" s="5">
        <v>5534.91</v>
      </c>
      <c r="I467" s="5" t="str">
        <f>IF(fin_table[[#This Row],[Account Balance]]&lt;20000,"Active", "Not Active")</f>
        <v>Not Active</v>
      </c>
      <c r="J467" s="5">
        <v>47080.54</v>
      </c>
      <c r="K467" s="5" t="str">
        <f t="shared" si="51"/>
        <v>Medium</v>
      </c>
      <c r="L467" s="6" t="s">
        <v>24</v>
      </c>
      <c r="M467">
        <v>52</v>
      </c>
      <c r="N467" s="6" t="str">
        <f t="shared" si="52"/>
        <v>Older Adults</v>
      </c>
      <c r="O467" s="6" t="s">
        <v>42</v>
      </c>
      <c r="P467" s="6" t="s">
        <v>26</v>
      </c>
      <c r="Q467" t="s">
        <v>1792</v>
      </c>
      <c r="R467" s="6" t="s">
        <v>52</v>
      </c>
      <c r="S467" s="6" t="s">
        <v>44</v>
      </c>
      <c r="T467" s="14">
        <v>4.7699999999999999E-2</v>
      </c>
      <c r="U467">
        <v>4.7699999999999996</v>
      </c>
      <c r="V467" t="str">
        <f>IF(fin_table[[#This Row],[Interest Rate(%)]]&gt;4,"high","low")</f>
        <v>high</v>
      </c>
      <c r="W467" s="5">
        <v>36951.32</v>
      </c>
      <c r="X467" s="5">
        <f>fin_table[[#This Row],[Interest Rate]]*fin_table[[#This Row],[Loan Amount]]</f>
        <v>1762.5779640000001</v>
      </c>
      <c r="Y467">
        <v>16</v>
      </c>
      <c r="Z467" s="3">
        <v>347</v>
      </c>
      <c r="AA467" s="3" t="str">
        <f t="shared" si="53"/>
        <v>Poor</v>
      </c>
      <c r="AB467" s="3" cm="1">
        <f t="array" ref="AB467">_xlfn.IFS(fin_table[[#This Row],[Transaction Status]]="Failed", 1, fin_table[[#This Row],[Transaction Status]]="Completed",0,fin_table[[#This Row],[Transaction Status]]="Pending",2)</f>
        <v>0</v>
      </c>
      <c r="AC467" s="3" t="str">
        <f>IF(fin_table[[#This Row],[Loan Defaulters]]=1,"Default", "Good")</f>
        <v>Good</v>
      </c>
      <c r="AD467" s="3">
        <f t="shared" si="54"/>
        <v>1</v>
      </c>
      <c r="AE467" s="4">
        <v>4948</v>
      </c>
      <c r="AF467" s="4" t="str">
        <f>IF(fin_table[[#This Row],[Monthly Income]]&lt;3000, "Low Income", IF(fin_table[[#This Row],[Monthly Income]]&lt;=5000, "Middle Income", "High Income"))</f>
        <v>Middle Income</v>
      </c>
      <c r="AG467" t="s">
        <v>63</v>
      </c>
      <c r="AH467" t="s">
        <v>3636</v>
      </c>
      <c r="AI467" t="str">
        <f t="shared" si="55"/>
        <v>High-Risk</v>
      </c>
    </row>
    <row r="468" spans="1:35" x14ac:dyDescent="0.35">
      <c r="A468" t="s">
        <v>1793</v>
      </c>
      <c r="B468" t="s">
        <v>1794</v>
      </c>
      <c r="C468" t="s">
        <v>1795</v>
      </c>
      <c r="D468" s="1">
        <v>44580</v>
      </c>
      <c r="E468" s="1" t="str">
        <f t="shared" si="49"/>
        <v>19</v>
      </c>
      <c r="F468" s="1" t="str">
        <f t="shared" si="50"/>
        <v>Jan</v>
      </c>
      <c r="G468" s="6" t="s">
        <v>34</v>
      </c>
      <c r="H468" s="5">
        <v>2270.81</v>
      </c>
      <c r="I468" s="5" t="str">
        <f>IF(fin_table[[#This Row],[Account Balance]]&lt;20000,"Active", "Not Active")</f>
        <v>Active</v>
      </c>
      <c r="J468" s="5">
        <v>1775.34</v>
      </c>
      <c r="K468" s="5" t="str">
        <f t="shared" si="51"/>
        <v>Low</v>
      </c>
      <c r="L468" s="6" t="s">
        <v>125</v>
      </c>
      <c r="M468">
        <v>51</v>
      </c>
      <c r="N468" s="6" t="str">
        <f t="shared" si="52"/>
        <v>Older Adults</v>
      </c>
      <c r="O468" s="6" t="s">
        <v>25</v>
      </c>
      <c r="P468" s="6" t="s">
        <v>50</v>
      </c>
      <c r="Q468" t="s">
        <v>1796</v>
      </c>
      <c r="R468" s="6" t="s">
        <v>28</v>
      </c>
      <c r="S468" s="6" t="s">
        <v>62</v>
      </c>
      <c r="T468" s="14">
        <v>3.8399999999999997E-2</v>
      </c>
      <c r="U468">
        <v>3.84</v>
      </c>
      <c r="V468" t="str">
        <f>IF(fin_table[[#This Row],[Interest Rate(%)]]&gt;4,"high","low")</f>
        <v>low</v>
      </c>
      <c r="W468" s="5">
        <v>5901.06</v>
      </c>
      <c r="X468" s="5">
        <f>fin_table[[#This Row],[Interest Rate]]*fin_table[[#This Row],[Loan Amount]]</f>
        <v>226.60070400000001</v>
      </c>
      <c r="Y468">
        <v>13</v>
      </c>
      <c r="Z468" s="3">
        <v>675</v>
      </c>
      <c r="AA468" s="3" t="str">
        <f t="shared" si="53"/>
        <v>Good</v>
      </c>
      <c r="AB468" s="3" cm="1">
        <f t="array" ref="AB468">_xlfn.IFS(fin_table[[#This Row],[Transaction Status]]="Failed", 1, fin_table[[#This Row],[Transaction Status]]="Completed",0,fin_table[[#This Row],[Transaction Status]]="Pending",2)</f>
        <v>2</v>
      </c>
      <c r="AC468" s="3" t="str">
        <f>IF(fin_table[[#This Row],[Loan Defaulters]]=1,"Default", "Good")</f>
        <v>Good</v>
      </c>
      <c r="AD468" s="3">
        <f t="shared" si="54"/>
        <v>3</v>
      </c>
      <c r="AE468" s="4">
        <v>7926.47</v>
      </c>
      <c r="AF468" s="4" t="str">
        <f>IF(fin_table[[#This Row],[Monthly Income]]&lt;3000, "Low Income", IF(fin_table[[#This Row],[Monthly Income]]&lt;=5000, "Middle Income", "High Income"))</f>
        <v>High Income</v>
      </c>
      <c r="AG468" t="s">
        <v>45</v>
      </c>
      <c r="AH468" t="s">
        <v>3636</v>
      </c>
      <c r="AI468" t="str">
        <f t="shared" si="55"/>
        <v>Low-Risk</v>
      </c>
    </row>
    <row r="469" spans="1:35" x14ac:dyDescent="0.35">
      <c r="A469" t="s">
        <v>1797</v>
      </c>
      <c r="B469" t="s">
        <v>900</v>
      </c>
      <c r="C469" t="s">
        <v>1798</v>
      </c>
      <c r="D469" s="1">
        <v>44975</v>
      </c>
      <c r="E469" s="1" t="str">
        <f t="shared" si="49"/>
        <v>18</v>
      </c>
      <c r="F469" s="1" t="str">
        <f t="shared" si="50"/>
        <v>Feb</v>
      </c>
      <c r="G469" s="6" t="s">
        <v>71</v>
      </c>
      <c r="H469" s="5">
        <v>433.32</v>
      </c>
      <c r="I469" s="5" t="str">
        <f>IF(fin_table[[#This Row],[Account Balance]]&lt;20000,"Active", "Not Active")</f>
        <v>Not Active</v>
      </c>
      <c r="J469" s="5">
        <v>26615.25</v>
      </c>
      <c r="K469" s="5" t="str">
        <f t="shared" si="51"/>
        <v>Medium</v>
      </c>
      <c r="L469" s="6" t="s">
        <v>125</v>
      </c>
      <c r="M469">
        <v>58</v>
      </c>
      <c r="N469" s="6" t="str">
        <f t="shared" si="52"/>
        <v>Older Adults</v>
      </c>
      <c r="O469" s="6" t="s">
        <v>25</v>
      </c>
      <c r="P469" s="6" t="s">
        <v>36</v>
      </c>
      <c r="Q469" t="s">
        <v>1799</v>
      </c>
      <c r="R469" s="6" t="s">
        <v>28</v>
      </c>
      <c r="S469" s="6" t="s">
        <v>29</v>
      </c>
      <c r="T469" s="14">
        <v>2.18E-2</v>
      </c>
      <c r="U469">
        <v>2.1800000000000002</v>
      </c>
      <c r="V469" t="str">
        <f>IF(fin_table[[#This Row],[Interest Rate(%)]]&gt;4,"high","low")</f>
        <v>low</v>
      </c>
      <c r="W469" s="5">
        <v>26681.654999999999</v>
      </c>
      <c r="X469" s="5">
        <f>fin_table[[#This Row],[Interest Rate]]*fin_table[[#This Row],[Loan Amount]]</f>
        <v>581.660079</v>
      </c>
      <c r="Y469">
        <v>13</v>
      </c>
      <c r="Z469" s="3">
        <v>332</v>
      </c>
      <c r="AA469" s="3" t="str">
        <f t="shared" si="53"/>
        <v>Poor</v>
      </c>
      <c r="AB469" s="3" cm="1">
        <f t="array" ref="AB469">_xlfn.IFS(fin_table[[#This Row],[Transaction Status]]="Failed", 1, fin_table[[#This Row],[Transaction Status]]="Completed",0,fin_table[[#This Row],[Transaction Status]]="Pending",2)</f>
        <v>1</v>
      </c>
      <c r="AC469" s="3" t="str">
        <f>IF(fin_table[[#This Row],[Loan Defaulters]]=1,"Default", "Good")</f>
        <v>Default</v>
      </c>
      <c r="AD469" s="3">
        <f t="shared" si="54"/>
        <v>1</v>
      </c>
      <c r="AE469" s="4">
        <v>14392.31</v>
      </c>
      <c r="AF469" s="4" t="str">
        <f>IF(fin_table[[#This Row],[Monthly Income]]&lt;3000, "Low Income", IF(fin_table[[#This Row],[Monthly Income]]&lt;=5000, "Middle Income", "High Income"))</f>
        <v>High Income</v>
      </c>
      <c r="AG469" t="s">
        <v>63</v>
      </c>
      <c r="AH469" t="s">
        <v>3635</v>
      </c>
      <c r="AI469" t="str">
        <f t="shared" si="55"/>
        <v>Low-Risk</v>
      </c>
    </row>
    <row r="470" spans="1:35" x14ac:dyDescent="0.35">
      <c r="A470" t="s">
        <v>1800</v>
      </c>
      <c r="B470" t="s">
        <v>1801</v>
      </c>
      <c r="C470" t="s">
        <v>1802</v>
      </c>
      <c r="D470" s="1">
        <v>44943</v>
      </c>
      <c r="E470" s="1" t="str">
        <f t="shared" si="49"/>
        <v>17</v>
      </c>
      <c r="F470" s="1" t="str">
        <f t="shared" si="50"/>
        <v>Jan</v>
      </c>
      <c r="G470" s="6" t="s">
        <v>34</v>
      </c>
      <c r="H470" s="5">
        <v>2224.8200000000002</v>
      </c>
      <c r="I470" s="5" t="str">
        <f>IF(fin_table[[#This Row],[Account Balance]]&lt;20000,"Active", "Not Active")</f>
        <v>Not Active</v>
      </c>
      <c r="J470" s="5">
        <v>24072.5</v>
      </c>
      <c r="K470" s="5" t="str">
        <f t="shared" si="51"/>
        <v>Medium</v>
      </c>
      <c r="L470" s="6" t="s">
        <v>100</v>
      </c>
      <c r="M470">
        <v>31</v>
      </c>
      <c r="N470" s="6" t="str">
        <f t="shared" si="52"/>
        <v>Adults</v>
      </c>
      <c r="O470" s="6" t="s">
        <v>42</v>
      </c>
      <c r="P470" s="6" t="s">
        <v>36</v>
      </c>
      <c r="Q470" t="s">
        <v>1803</v>
      </c>
      <c r="R470" s="6" t="s">
        <v>38</v>
      </c>
      <c r="S470" s="6" t="s">
        <v>29</v>
      </c>
      <c r="T470" s="14">
        <v>3.32E-2</v>
      </c>
      <c r="U470">
        <v>3.32</v>
      </c>
      <c r="V470" t="str">
        <f>IF(fin_table[[#This Row],[Interest Rate(%)]]&gt;4,"high","low")</f>
        <v>low</v>
      </c>
      <c r="W470" s="5">
        <v>20053.439999999999</v>
      </c>
      <c r="X470" s="5">
        <f>fin_table[[#This Row],[Interest Rate]]*fin_table[[#This Row],[Loan Amount]]</f>
        <v>665.77420799999993</v>
      </c>
      <c r="Y470">
        <v>26</v>
      </c>
      <c r="Z470" s="3">
        <v>803</v>
      </c>
      <c r="AA470" s="3" t="str">
        <f t="shared" si="53"/>
        <v>Excellent</v>
      </c>
      <c r="AB470" s="3" cm="1">
        <f t="array" ref="AB470">_xlfn.IFS(fin_table[[#This Row],[Transaction Status]]="Failed", 1, fin_table[[#This Row],[Transaction Status]]="Completed",0,fin_table[[#This Row],[Transaction Status]]="Pending",2)</f>
        <v>1</v>
      </c>
      <c r="AC470" s="3" t="str">
        <f>IF(fin_table[[#This Row],[Loan Defaulters]]=1,"Default", "Good")</f>
        <v>Default</v>
      </c>
      <c r="AD470" s="3">
        <f t="shared" si="54"/>
        <v>5</v>
      </c>
      <c r="AE470" s="4">
        <v>13055.89</v>
      </c>
      <c r="AF470" s="4" t="str">
        <f>IF(fin_table[[#This Row],[Monthly Income]]&lt;3000, "Low Income", IF(fin_table[[#This Row],[Monthly Income]]&lt;=5000, "Middle Income", "High Income"))</f>
        <v>High Income</v>
      </c>
      <c r="AG470" t="s">
        <v>63</v>
      </c>
      <c r="AH470" t="s">
        <v>3636</v>
      </c>
      <c r="AI470" t="str">
        <f t="shared" si="55"/>
        <v>Low-Risk</v>
      </c>
    </row>
    <row r="471" spans="1:35" x14ac:dyDescent="0.35">
      <c r="A471" t="s">
        <v>1804</v>
      </c>
      <c r="B471" t="s">
        <v>1805</v>
      </c>
      <c r="C471" t="s">
        <v>1806</v>
      </c>
      <c r="D471" s="1">
        <v>44597</v>
      </c>
      <c r="E471" s="1" t="str">
        <f t="shared" si="49"/>
        <v>05</v>
      </c>
      <c r="F471" s="1" t="str">
        <f t="shared" si="50"/>
        <v>Feb</v>
      </c>
      <c r="G471" s="6" t="s">
        <v>34</v>
      </c>
      <c r="H471" s="5">
        <v>4219.6000000000004</v>
      </c>
      <c r="I471" s="5" t="str">
        <f>IF(fin_table[[#This Row],[Account Balance]]&lt;20000,"Active", "Not Active")</f>
        <v>Not Active</v>
      </c>
      <c r="J471" s="5">
        <v>33146.699999999997</v>
      </c>
      <c r="K471" s="5" t="str">
        <f t="shared" si="51"/>
        <v>Medium</v>
      </c>
      <c r="L471" s="6" t="s">
        <v>35</v>
      </c>
      <c r="M471">
        <v>21</v>
      </c>
      <c r="N471" s="6" t="str">
        <f t="shared" si="52"/>
        <v>Young Adults</v>
      </c>
      <c r="O471" s="6" t="s">
        <v>42</v>
      </c>
      <c r="P471" s="6" t="s">
        <v>36</v>
      </c>
      <c r="Q471" t="s">
        <v>1807</v>
      </c>
      <c r="R471" s="6" t="s">
        <v>52</v>
      </c>
      <c r="S471" s="6" t="s">
        <v>29</v>
      </c>
      <c r="T471" s="14">
        <v>4.7800000000000002E-2</v>
      </c>
      <c r="U471">
        <v>4.78</v>
      </c>
      <c r="V471" t="str">
        <f>IF(fin_table[[#This Row],[Interest Rate(%)]]&gt;4,"high","low")</f>
        <v>high</v>
      </c>
      <c r="W471" s="5">
        <v>26681.654999999999</v>
      </c>
      <c r="X471" s="5">
        <f>fin_table[[#This Row],[Interest Rate]]*fin_table[[#This Row],[Loan Amount]]</f>
        <v>1275.3831090000001</v>
      </c>
      <c r="Y471">
        <v>20</v>
      </c>
      <c r="Z471" s="3">
        <v>302</v>
      </c>
      <c r="AA471" s="3" t="str">
        <f t="shared" si="53"/>
        <v>Poor</v>
      </c>
      <c r="AB471" s="3" cm="1">
        <f t="array" ref="AB471">_xlfn.IFS(fin_table[[#This Row],[Transaction Status]]="Failed", 1, fin_table[[#This Row],[Transaction Status]]="Completed",0,fin_table[[#This Row],[Transaction Status]]="Pending",2)</f>
        <v>1</v>
      </c>
      <c r="AC471" s="3" t="str">
        <f>IF(fin_table[[#This Row],[Loan Defaulters]]=1,"Default", "Good")</f>
        <v>Default</v>
      </c>
      <c r="AD471" s="3">
        <f t="shared" si="54"/>
        <v>1</v>
      </c>
      <c r="AE471" s="4">
        <v>3888.03</v>
      </c>
      <c r="AF471" s="4" t="str">
        <f>IF(fin_table[[#This Row],[Monthly Income]]&lt;3000, "Low Income", IF(fin_table[[#This Row],[Monthly Income]]&lt;=5000, "Middle Income", "High Income"))</f>
        <v>Middle Income</v>
      </c>
      <c r="AG471" t="s">
        <v>45</v>
      </c>
      <c r="AH471" t="s">
        <v>3635</v>
      </c>
      <c r="AI471" t="str">
        <f t="shared" si="55"/>
        <v>Low-Risk</v>
      </c>
    </row>
    <row r="472" spans="1:35" x14ac:dyDescent="0.35">
      <c r="A472" t="s">
        <v>1808</v>
      </c>
      <c r="B472" t="s">
        <v>1809</v>
      </c>
      <c r="C472" t="s">
        <v>1810</v>
      </c>
      <c r="D472" s="1">
        <v>44615</v>
      </c>
      <c r="E472" s="1" t="str">
        <f t="shared" si="49"/>
        <v>23</v>
      </c>
      <c r="F472" s="1" t="str">
        <f t="shared" si="50"/>
        <v>Feb</v>
      </c>
      <c r="G472" s="6" t="s">
        <v>23</v>
      </c>
      <c r="H472" s="5">
        <v>7620.15</v>
      </c>
      <c r="I472" s="5" t="str">
        <f>IF(fin_table[[#This Row],[Account Balance]]&lt;20000,"Active", "Not Active")</f>
        <v>Not Active</v>
      </c>
      <c r="J472" s="5">
        <v>28419.360000000001</v>
      </c>
      <c r="K472" s="5" t="str">
        <f t="shared" si="51"/>
        <v>Medium</v>
      </c>
      <c r="L472" s="6" t="s">
        <v>35</v>
      </c>
      <c r="M472">
        <v>46</v>
      </c>
      <c r="N472" s="6" t="str">
        <f t="shared" si="52"/>
        <v>Older Adults</v>
      </c>
      <c r="O472" s="6" t="s">
        <v>42</v>
      </c>
      <c r="P472" s="6" t="s">
        <v>36</v>
      </c>
      <c r="Q472" t="s">
        <v>921</v>
      </c>
      <c r="R472" s="6" t="s">
        <v>38</v>
      </c>
      <c r="S472" s="6" t="s">
        <v>62</v>
      </c>
      <c r="T472" s="14">
        <v>4.2500000000000003E-2</v>
      </c>
      <c r="U472">
        <v>4.25</v>
      </c>
      <c r="V472" t="str">
        <f>IF(fin_table[[#This Row],[Interest Rate(%)]]&gt;4,"high","low")</f>
        <v>high</v>
      </c>
      <c r="W472" s="5">
        <v>26681.654999999999</v>
      </c>
      <c r="X472" s="5">
        <f>fin_table[[#This Row],[Interest Rate]]*fin_table[[#This Row],[Loan Amount]]</f>
        <v>1133.9703375000001</v>
      </c>
      <c r="Y472">
        <v>15</v>
      </c>
      <c r="Z472" s="3">
        <v>785</v>
      </c>
      <c r="AA472" s="3" t="str">
        <f t="shared" si="53"/>
        <v>Very Good</v>
      </c>
      <c r="AB472" s="3" cm="1">
        <f t="array" ref="AB472">_xlfn.IFS(fin_table[[#This Row],[Transaction Status]]="Failed", 1, fin_table[[#This Row],[Transaction Status]]="Completed",0,fin_table[[#This Row],[Transaction Status]]="Pending",2)</f>
        <v>2</v>
      </c>
      <c r="AC472" s="3" t="str">
        <f>IF(fin_table[[#This Row],[Loan Defaulters]]=1,"Default", "Good")</f>
        <v>Good</v>
      </c>
      <c r="AD472" s="3">
        <f t="shared" si="54"/>
        <v>4</v>
      </c>
      <c r="AE472" s="4">
        <v>2387.15</v>
      </c>
      <c r="AF472" s="4" t="str">
        <f>IF(fin_table[[#This Row],[Monthly Income]]&lt;3000, "Low Income", IF(fin_table[[#This Row],[Monthly Income]]&lt;=5000, "Middle Income", "High Income"))</f>
        <v>Low Income</v>
      </c>
      <c r="AG472" t="s">
        <v>63</v>
      </c>
      <c r="AH472" t="s">
        <v>3635</v>
      </c>
      <c r="AI472" t="str">
        <f t="shared" si="55"/>
        <v>Low-Risk</v>
      </c>
    </row>
    <row r="473" spans="1:35" x14ac:dyDescent="0.35">
      <c r="A473" t="s">
        <v>1811</v>
      </c>
      <c r="B473" t="s">
        <v>1812</v>
      </c>
      <c r="C473" t="s">
        <v>1813</v>
      </c>
      <c r="D473" s="1">
        <v>44754</v>
      </c>
      <c r="E473" s="1" t="str">
        <f t="shared" si="49"/>
        <v>12</v>
      </c>
      <c r="F473" s="1" t="str">
        <f t="shared" si="50"/>
        <v>Jul</v>
      </c>
      <c r="G473" s="6" t="s">
        <v>34</v>
      </c>
      <c r="H473" s="5">
        <v>1959.64</v>
      </c>
      <c r="I473" s="5" t="str">
        <f>IF(fin_table[[#This Row],[Account Balance]]&lt;20000,"Active", "Not Active")</f>
        <v>Not Active</v>
      </c>
      <c r="J473" s="5">
        <v>34664.92</v>
      </c>
      <c r="K473" s="5" t="str">
        <f t="shared" si="51"/>
        <v>Medium</v>
      </c>
      <c r="L473" s="6" t="s">
        <v>100</v>
      </c>
      <c r="M473">
        <v>58</v>
      </c>
      <c r="N473" s="6" t="str">
        <f t="shared" si="52"/>
        <v>Older Adults</v>
      </c>
      <c r="O473" s="6" t="s">
        <v>25</v>
      </c>
      <c r="P473" s="6" t="s">
        <v>36</v>
      </c>
      <c r="Q473" t="s">
        <v>1814</v>
      </c>
      <c r="R473" s="6" t="s">
        <v>38</v>
      </c>
      <c r="S473" s="6" t="s">
        <v>29</v>
      </c>
      <c r="T473" s="14">
        <v>3.9699999999999999E-2</v>
      </c>
      <c r="U473">
        <v>3.97</v>
      </c>
      <c r="V473" t="str">
        <f>IF(fin_table[[#This Row],[Interest Rate(%)]]&gt;4,"high","low")</f>
        <v>low</v>
      </c>
      <c r="W473" s="5">
        <v>26681.654999999999</v>
      </c>
      <c r="X473" s="5">
        <f>fin_table[[#This Row],[Interest Rate]]*fin_table[[#This Row],[Loan Amount]]</f>
        <v>1059.2617034999998</v>
      </c>
      <c r="Y473">
        <v>18</v>
      </c>
      <c r="Z473" s="3">
        <v>815</v>
      </c>
      <c r="AA473" s="3" t="str">
        <f t="shared" si="53"/>
        <v>Excellent</v>
      </c>
      <c r="AB473" s="3" cm="1">
        <f t="array" ref="AB473">_xlfn.IFS(fin_table[[#This Row],[Transaction Status]]="Failed", 1, fin_table[[#This Row],[Transaction Status]]="Completed",0,fin_table[[#This Row],[Transaction Status]]="Pending",2)</f>
        <v>1</v>
      </c>
      <c r="AC473" s="3" t="str">
        <f>IF(fin_table[[#This Row],[Loan Defaulters]]=1,"Default", "Good")</f>
        <v>Default</v>
      </c>
      <c r="AD473" s="3">
        <f t="shared" si="54"/>
        <v>5</v>
      </c>
      <c r="AE473" s="4">
        <v>14135.82</v>
      </c>
      <c r="AF473" s="4" t="str">
        <f>IF(fin_table[[#This Row],[Monthly Income]]&lt;3000, "Low Income", IF(fin_table[[#This Row],[Monthly Income]]&lt;=5000, "Middle Income", "High Income"))</f>
        <v>High Income</v>
      </c>
      <c r="AG473" t="s">
        <v>63</v>
      </c>
      <c r="AH473" t="s">
        <v>3635</v>
      </c>
      <c r="AI473" t="str">
        <f t="shared" si="55"/>
        <v>Low-Risk</v>
      </c>
    </row>
    <row r="474" spans="1:35" x14ac:dyDescent="0.35">
      <c r="A474" t="s">
        <v>1815</v>
      </c>
      <c r="B474" t="s">
        <v>1816</v>
      </c>
      <c r="C474" t="s">
        <v>1817</v>
      </c>
      <c r="D474" s="1">
        <v>44813</v>
      </c>
      <c r="E474" s="1" t="str">
        <f t="shared" si="49"/>
        <v>09</v>
      </c>
      <c r="F474" s="1" t="str">
        <f t="shared" si="50"/>
        <v>Sep</v>
      </c>
      <c r="G474" s="6" t="s">
        <v>23</v>
      </c>
      <c r="H474" s="5">
        <v>7225.94</v>
      </c>
      <c r="I474" s="5" t="str">
        <f>IF(fin_table[[#This Row],[Account Balance]]&lt;20000,"Active", "Not Active")</f>
        <v>Not Active</v>
      </c>
      <c r="J474" s="5">
        <v>33246.050000000003</v>
      </c>
      <c r="K474" s="5" t="str">
        <f t="shared" si="51"/>
        <v>Medium</v>
      </c>
      <c r="L474" s="6" t="s">
        <v>35</v>
      </c>
      <c r="M474">
        <v>62</v>
      </c>
      <c r="N474" s="6" t="str">
        <f t="shared" si="52"/>
        <v>Seniors</v>
      </c>
      <c r="O474" s="6" t="s">
        <v>25</v>
      </c>
      <c r="P474" s="6" t="s">
        <v>36</v>
      </c>
      <c r="Q474" t="s">
        <v>1209</v>
      </c>
      <c r="R474" s="6" t="s">
        <v>52</v>
      </c>
      <c r="S474" s="6" t="s">
        <v>62</v>
      </c>
      <c r="T474" s="14">
        <v>3.95E-2</v>
      </c>
      <c r="U474">
        <v>3.95</v>
      </c>
      <c r="V474" t="str">
        <f>IF(fin_table[[#This Row],[Interest Rate(%)]]&gt;4,"high","low")</f>
        <v>low</v>
      </c>
      <c r="W474" s="5">
        <v>28451.7</v>
      </c>
      <c r="X474" s="5">
        <f>fin_table[[#This Row],[Interest Rate]]*fin_table[[#This Row],[Loan Amount]]</f>
        <v>1123.8421499999999</v>
      </c>
      <c r="Y474">
        <v>13</v>
      </c>
      <c r="Z474" s="3">
        <v>341</v>
      </c>
      <c r="AA474" s="3" t="str">
        <f t="shared" si="53"/>
        <v>Poor</v>
      </c>
      <c r="AB474" s="3" cm="1">
        <f t="array" ref="AB474">_xlfn.IFS(fin_table[[#This Row],[Transaction Status]]="Failed", 1, fin_table[[#This Row],[Transaction Status]]="Completed",0,fin_table[[#This Row],[Transaction Status]]="Pending",2)</f>
        <v>2</v>
      </c>
      <c r="AC474" s="3" t="str">
        <f>IF(fin_table[[#This Row],[Loan Defaulters]]=1,"Default", "Good")</f>
        <v>Good</v>
      </c>
      <c r="AD474" s="3">
        <f t="shared" si="54"/>
        <v>1</v>
      </c>
      <c r="AE474" s="4">
        <v>8847.75</v>
      </c>
      <c r="AF474" s="4" t="str">
        <f>IF(fin_table[[#This Row],[Monthly Income]]&lt;3000, "Low Income", IF(fin_table[[#This Row],[Monthly Income]]&lt;=5000, "Middle Income", "High Income"))</f>
        <v>High Income</v>
      </c>
      <c r="AG474" t="s">
        <v>30</v>
      </c>
      <c r="AH474" t="s">
        <v>3636</v>
      </c>
      <c r="AI474" t="str">
        <f t="shared" si="55"/>
        <v>Low-Risk</v>
      </c>
    </row>
    <row r="475" spans="1:35" x14ac:dyDescent="0.35">
      <c r="A475" t="s">
        <v>1818</v>
      </c>
      <c r="B475" t="s">
        <v>1819</v>
      </c>
      <c r="C475" t="s">
        <v>1820</v>
      </c>
      <c r="D475" s="1">
        <v>44797</v>
      </c>
      <c r="E475" s="1" t="str">
        <f t="shared" si="49"/>
        <v>24</v>
      </c>
      <c r="F475" s="1" t="str">
        <f t="shared" si="50"/>
        <v>Aug</v>
      </c>
      <c r="G475" s="6" t="s">
        <v>71</v>
      </c>
      <c r="H475" s="5">
        <v>8682.64</v>
      </c>
      <c r="I475" s="5" t="str">
        <f>IF(fin_table[[#This Row],[Account Balance]]&lt;20000,"Active", "Not Active")</f>
        <v>Active</v>
      </c>
      <c r="J475" s="5">
        <v>6733.57</v>
      </c>
      <c r="K475" s="5" t="str">
        <f t="shared" si="51"/>
        <v>Low</v>
      </c>
      <c r="L475" s="6" t="s">
        <v>49</v>
      </c>
      <c r="M475">
        <v>67</v>
      </c>
      <c r="N475" s="6" t="str">
        <f t="shared" si="52"/>
        <v>Seniors</v>
      </c>
      <c r="O475" s="6" t="s">
        <v>25</v>
      </c>
      <c r="P475" s="6" t="s">
        <v>26</v>
      </c>
      <c r="Q475" t="s">
        <v>1821</v>
      </c>
      <c r="R475" s="6" t="s">
        <v>38</v>
      </c>
      <c r="S475" s="6" t="s">
        <v>29</v>
      </c>
      <c r="T475" s="14">
        <v>1.7100000000000001E-2</v>
      </c>
      <c r="U475">
        <v>1.71</v>
      </c>
      <c r="V475" t="str">
        <f>IF(fin_table[[#This Row],[Interest Rate(%)]]&gt;4,"high","low")</f>
        <v>low</v>
      </c>
      <c r="W475" s="5">
        <v>26681.654999999999</v>
      </c>
      <c r="X475" s="5">
        <f>fin_table[[#This Row],[Interest Rate]]*fin_table[[#This Row],[Loan Amount]]</f>
        <v>456.25630050000001</v>
      </c>
      <c r="Y475">
        <v>13</v>
      </c>
      <c r="Z475" s="3">
        <v>308</v>
      </c>
      <c r="AA475" s="3" t="str">
        <f t="shared" si="53"/>
        <v>Poor</v>
      </c>
      <c r="AB475" s="3" cm="1">
        <f t="array" ref="AB475">_xlfn.IFS(fin_table[[#This Row],[Transaction Status]]="Failed", 1, fin_table[[#This Row],[Transaction Status]]="Completed",0,fin_table[[#This Row],[Transaction Status]]="Pending",2)</f>
        <v>1</v>
      </c>
      <c r="AC475" s="3" t="str">
        <f>IF(fin_table[[#This Row],[Loan Defaulters]]=1,"Default", "Good")</f>
        <v>Default</v>
      </c>
      <c r="AD475" s="3">
        <f t="shared" si="54"/>
        <v>1</v>
      </c>
      <c r="AE475" s="4">
        <v>8991.89</v>
      </c>
      <c r="AF475" s="4" t="str">
        <f>IF(fin_table[[#This Row],[Monthly Income]]&lt;3000, "Low Income", IF(fin_table[[#This Row],[Monthly Income]]&lt;=5000, "Middle Income", "High Income"))</f>
        <v>High Income</v>
      </c>
      <c r="AG475" t="s">
        <v>63</v>
      </c>
      <c r="AH475" t="s">
        <v>3635</v>
      </c>
      <c r="AI475" t="str">
        <f t="shared" si="55"/>
        <v>Low-Risk</v>
      </c>
    </row>
    <row r="476" spans="1:35" x14ac:dyDescent="0.35">
      <c r="A476" t="s">
        <v>1822</v>
      </c>
      <c r="B476" t="s">
        <v>1823</v>
      </c>
      <c r="C476" t="s">
        <v>1824</v>
      </c>
      <c r="D476" s="1">
        <v>44875</v>
      </c>
      <c r="E476" s="1" t="str">
        <f t="shared" si="49"/>
        <v>10</v>
      </c>
      <c r="F476" s="1" t="str">
        <f t="shared" si="50"/>
        <v>Nov</v>
      </c>
      <c r="G476" s="6" t="s">
        <v>23</v>
      </c>
      <c r="H476" s="5">
        <v>4594.07</v>
      </c>
      <c r="I476" s="5" t="str">
        <f>IF(fin_table[[#This Row],[Account Balance]]&lt;20000,"Active", "Not Active")</f>
        <v>Not Active</v>
      </c>
      <c r="J476" s="5">
        <v>40186.18</v>
      </c>
      <c r="K476" s="5" t="str">
        <f t="shared" si="51"/>
        <v>Medium</v>
      </c>
      <c r="L476" s="6" t="s">
        <v>35</v>
      </c>
      <c r="M476">
        <v>32</v>
      </c>
      <c r="N476" s="6" t="str">
        <f t="shared" si="52"/>
        <v>Adults</v>
      </c>
      <c r="O476" s="6" t="s">
        <v>42</v>
      </c>
      <c r="P476" s="6" t="s">
        <v>26</v>
      </c>
      <c r="Q476" t="s">
        <v>1742</v>
      </c>
      <c r="R476" s="6" t="s">
        <v>52</v>
      </c>
      <c r="S476" s="6" t="s">
        <v>44</v>
      </c>
      <c r="T476" s="14">
        <v>4.2999999999999997E-2</v>
      </c>
      <c r="U476">
        <v>4.2999999999999997E-2</v>
      </c>
      <c r="V476" t="str">
        <f>IF(fin_table[[#This Row],[Interest Rate(%)]]&gt;4,"high","low")</f>
        <v>low</v>
      </c>
      <c r="W476" s="5">
        <v>28616.75</v>
      </c>
      <c r="X476" s="5">
        <f>fin_table[[#This Row],[Interest Rate]]*fin_table[[#This Row],[Loan Amount]]</f>
        <v>1230.5202499999998</v>
      </c>
      <c r="Y476">
        <v>13</v>
      </c>
      <c r="Z476" s="3">
        <v>441</v>
      </c>
      <c r="AA476" s="3" t="str">
        <f t="shared" si="53"/>
        <v>Poor</v>
      </c>
      <c r="AB476" s="3" cm="1">
        <f t="array" ref="AB476">_xlfn.IFS(fin_table[[#This Row],[Transaction Status]]="Failed", 1, fin_table[[#This Row],[Transaction Status]]="Completed",0,fin_table[[#This Row],[Transaction Status]]="Pending",2)</f>
        <v>0</v>
      </c>
      <c r="AC476" s="3" t="str">
        <f>IF(fin_table[[#This Row],[Loan Defaulters]]=1,"Default", "Good")</f>
        <v>Good</v>
      </c>
      <c r="AD476" s="3">
        <f t="shared" si="54"/>
        <v>1</v>
      </c>
      <c r="AE476" s="4">
        <v>12149.33</v>
      </c>
      <c r="AF476" s="4" t="str">
        <f>IF(fin_table[[#This Row],[Monthly Income]]&lt;3000, "Low Income", IF(fin_table[[#This Row],[Monthly Income]]&lt;=5000, "Middle Income", "High Income"))</f>
        <v>High Income</v>
      </c>
      <c r="AG476" t="s">
        <v>30</v>
      </c>
      <c r="AH476" t="s">
        <v>3636</v>
      </c>
      <c r="AI476" t="str">
        <f t="shared" si="55"/>
        <v>Low-Risk</v>
      </c>
    </row>
    <row r="477" spans="1:35" x14ac:dyDescent="0.35">
      <c r="A477" t="s">
        <v>1825</v>
      </c>
      <c r="B477" t="s">
        <v>220</v>
      </c>
      <c r="C477" t="s">
        <v>1826</v>
      </c>
      <c r="D477" s="1">
        <v>44840</v>
      </c>
      <c r="E477" s="1" t="str">
        <f t="shared" si="49"/>
        <v>06</v>
      </c>
      <c r="F477" s="1" t="str">
        <f t="shared" si="50"/>
        <v>Oct</v>
      </c>
      <c r="G477" s="6" t="s">
        <v>23</v>
      </c>
      <c r="H477" s="5">
        <v>8232.18</v>
      </c>
      <c r="I477" s="5" t="str">
        <f>IF(fin_table[[#This Row],[Account Balance]]&lt;20000,"Active", "Not Active")</f>
        <v>Active</v>
      </c>
      <c r="J477" s="5">
        <v>7038.4</v>
      </c>
      <c r="K477" s="5" t="str">
        <f t="shared" si="51"/>
        <v>Low</v>
      </c>
      <c r="L477" s="6" t="s">
        <v>35</v>
      </c>
      <c r="M477">
        <v>45</v>
      </c>
      <c r="N477" s="6" t="str">
        <f t="shared" si="52"/>
        <v>Middle-Aged</v>
      </c>
      <c r="O477" s="6" t="s">
        <v>42</v>
      </c>
      <c r="P477" s="6" t="s">
        <v>26</v>
      </c>
      <c r="Q477" t="s">
        <v>1827</v>
      </c>
      <c r="R477" s="6" t="s">
        <v>28</v>
      </c>
      <c r="S477" s="6" t="s">
        <v>29</v>
      </c>
      <c r="T477" s="14">
        <v>2.1000000000000001E-2</v>
      </c>
      <c r="U477">
        <v>2.1000000000000001E-2</v>
      </c>
      <c r="V477" t="str">
        <f>IF(fin_table[[#This Row],[Interest Rate(%)]]&gt;4,"high","low")</f>
        <v>low</v>
      </c>
      <c r="W477" s="5">
        <v>26681.654999999999</v>
      </c>
      <c r="X477" s="5">
        <f>fin_table[[#This Row],[Interest Rate]]*fin_table[[#This Row],[Loan Amount]]</f>
        <v>560.31475499999999</v>
      </c>
      <c r="Y477">
        <v>13</v>
      </c>
      <c r="Z477" s="3">
        <v>735</v>
      </c>
      <c r="AA477" s="3" t="str">
        <f t="shared" si="53"/>
        <v>Good</v>
      </c>
      <c r="AB477" s="3" cm="1">
        <f t="array" ref="AB477">_xlfn.IFS(fin_table[[#This Row],[Transaction Status]]="Failed", 1, fin_table[[#This Row],[Transaction Status]]="Completed",0,fin_table[[#This Row],[Transaction Status]]="Pending",2)</f>
        <v>1</v>
      </c>
      <c r="AC477" s="3" t="str">
        <f>IF(fin_table[[#This Row],[Loan Defaulters]]=1,"Default", "Good")</f>
        <v>Default</v>
      </c>
      <c r="AD477" s="3">
        <f t="shared" si="54"/>
        <v>3</v>
      </c>
      <c r="AE477" s="4">
        <v>6090.96</v>
      </c>
      <c r="AF477" s="4" t="str">
        <f>IF(fin_table[[#This Row],[Monthly Income]]&lt;3000, "Low Income", IF(fin_table[[#This Row],[Monthly Income]]&lt;=5000, "Middle Income", "High Income"))</f>
        <v>High Income</v>
      </c>
      <c r="AG477" t="s">
        <v>45</v>
      </c>
      <c r="AH477" t="s">
        <v>3635</v>
      </c>
      <c r="AI477" t="str">
        <f t="shared" si="55"/>
        <v>Low-Risk</v>
      </c>
    </row>
    <row r="478" spans="1:35" x14ac:dyDescent="0.35">
      <c r="A478" t="s">
        <v>1828</v>
      </c>
      <c r="B478" t="s">
        <v>1829</v>
      </c>
      <c r="C478" t="s">
        <v>1830</v>
      </c>
      <c r="D478" s="1">
        <v>44747</v>
      </c>
      <c r="E478" s="1" t="str">
        <f t="shared" si="49"/>
        <v>05</v>
      </c>
      <c r="F478" s="1" t="str">
        <f t="shared" si="50"/>
        <v>Jul</v>
      </c>
      <c r="G478" s="6" t="s">
        <v>56</v>
      </c>
      <c r="H478" s="5">
        <v>5591.11</v>
      </c>
      <c r="I478" s="5" t="str">
        <f>IF(fin_table[[#This Row],[Account Balance]]&lt;20000,"Active", "Not Active")</f>
        <v>Not Active</v>
      </c>
      <c r="J478" s="5">
        <v>35228</v>
      </c>
      <c r="K478" s="5" t="str">
        <f t="shared" si="51"/>
        <v>Medium</v>
      </c>
      <c r="L478" s="6" t="s">
        <v>100</v>
      </c>
      <c r="M478">
        <v>59</v>
      </c>
      <c r="N478" s="6" t="str">
        <f t="shared" si="52"/>
        <v>Older Adults</v>
      </c>
      <c r="O478" s="6" t="s">
        <v>42</v>
      </c>
      <c r="P478" s="6" t="s">
        <v>50</v>
      </c>
      <c r="Q478" t="s">
        <v>1831</v>
      </c>
      <c r="R478" s="6" t="s">
        <v>52</v>
      </c>
      <c r="S478" s="6" t="s">
        <v>44</v>
      </c>
      <c r="T478" s="14">
        <v>4.7199999999999999E-2</v>
      </c>
      <c r="U478">
        <v>4.72</v>
      </c>
      <c r="V478" t="str">
        <f>IF(fin_table[[#This Row],[Interest Rate(%)]]&gt;4,"high","low")</f>
        <v>high</v>
      </c>
      <c r="W478" s="5">
        <v>26681.654999999999</v>
      </c>
      <c r="X478" s="5">
        <f>fin_table[[#This Row],[Interest Rate]]*fin_table[[#This Row],[Loan Amount]]</f>
        <v>1259.374116</v>
      </c>
      <c r="Y478">
        <v>13</v>
      </c>
      <c r="Z478" s="3">
        <v>326</v>
      </c>
      <c r="AA478" s="3" t="str">
        <f t="shared" si="53"/>
        <v>Poor</v>
      </c>
      <c r="AB478" s="3" cm="1">
        <f t="array" ref="AB478">_xlfn.IFS(fin_table[[#This Row],[Transaction Status]]="Failed", 1, fin_table[[#This Row],[Transaction Status]]="Completed",0,fin_table[[#This Row],[Transaction Status]]="Pending",2)</f>
        <v>0</v>
      </c>
      <c r="AC478" s="3" t="str">
        <f>IF(fin_table[[#This Row],[Loan Defaulters]]=1,"Default", "Good")</f>
        <v>Good</v>
      </c>
      <c r="AD478" s="3">
        <f t="shared" si="54"/>
        <v>1</v>
      </c>
      <c r="AE478" s="4">
        <v>8264.7999999999993</v>
      </c>
      <c r="AF478" s="4" t="str">
        <f>IF(fin_table[[#This Row],[Monthly Income]]&lt;3000, "Low Income", IF(fin_table[[#This Row],[Monthly Income]]&lt;=5000, "Middle Income", "High Income"))</f>
        <v>High Income</v>
      </c>
      <c r="AG478" t="s">
        <v>30</v>
      </c>
      <c r="AH478" t="s">
        <v>3635</v>
      </c>
      <c r="AI478" t="str">
        <f t="shared" si="55"/>
        <v>Low-Risk</v>
      </c>
    </row>
    <row r="479" spans="1:35" x14ac:dyDescent="0.35">
      <c r="A479" t="s">
        <v>1832</v>
      </c>
      <c r="B479" t="s">
        <v>1833</v>
      </c>
      <c r="C479" t="s">
        <v>1834</v>
      </c>
      <c r="D479" s="1">
        <v>44746</v>
      </c>
      <c r="E479" s="1" t="str">
        <f t="shared" si="49"/>
        <v>04</v>
      </c>
      <c r="F479" s="1" t="str">
        <f t="shared" si="50"/>
        <v>Jul</v>
      </c>
      <c r="G479" s="6" t="s">
        <v>34</v>
      </c>
      <c r="H479" s="5">
        <v>6407.2</v>
      </c>
      <c r="I479" s="5" t="str">
        <f>IF(fin_table[[#This Row],[Account Balance]]&lt;20000,"Active", "Not Active")</f>
        <v>Not Active</v>
      </c>
      <c r="J479" s="5">
        <v>21391.119999999999</v>
      </c>
      <c r="K479" s="5" t="str">
        <f t="shared" si="51"/>
        <v>Medium</v>
      </c>
      <c r="L479" s="6" t="s">
        <v>24</v>
      </c>
      <c r="M479">
        <v>33</v>
      </c>
      <c r="N479" s="6" t="str">
        <f t="shared" si="52"/>
        <v>Adults</v>
      </c>
      <c r="O479" s="6" t="s">
        <v>25</v>
      </c>
      <c r="P479" s="6" t="s">
        <v>50</v>
      </c>
      <c r="Q479" t="s">
        <v>682</v>
      </c>
      <c r="R479" s="6" t="s">
        <v>52</v>
      </c>
      <c r="S479" s="6" t="s">
        <v>44</v>
      </c>
      <c r="T479" s="14">
        <v>2.46E-2</v>
      </c>
      <c r="U479">
        <v>2.46</v>
      </c>
      <c r="V479" t="str">
        <f>IF(fin_table[[#This Row],[Interest Rate(%)]]&gt;4,"high","low")</f>
        <v>low</v>
      </c>
      <c r="W479" s="5">
        <v>26681.654999999999</v>
      </c>
      <c r="X479" s="5">
        <f>fin_table[[#This Row],[Interest Rate]]*fin_table[[#This Row],[Loan Amount]]</f>
        <v>656.36871299999996</v>
      </c>
      <c r="Y479">
        <v>11</v>
      </c>
      <c r="Z479" s="3">
        <v>342</v>
      </c>
      <c r="AA479" s="3" t="str">
        <f t="shared" si="53"/>
        <v>Poor</v>
      </c>
      <c r="AB479" s="3" cm="1">
        <f t="array" ref="AB479">_xlfn.IFS(fin_table[[#This Row],[Transaction Status]]="Failed", 1, fin_table[[#This Row],[Transaction Status]]="Completed",0,fin_table[[#This Row],[Transaction Status]]="Pending",2)</f>
        <v>0</v>
      </c>
      <c r="AC479" s="3" t="str">
        <f>IF(fin_table[[#This Row],[Loan Defaulters]]=1,"Default", "Good")</f>
        <v>Good</v>
      </c>
      <c r="AD479" s="3">
        <f t="shared" si="54"/>
        <v>1</v>
      </c>
      <c r="AE479" s="4">
        <v>14592.62</v>
      </c>
      <c r="AF479" s="4" t="str">
        <f>IF(fin_table[[#This Row],[Monthly Income]]&lt;3000, "Low Income", IF(fin_table[[#This Row],[Monthly Income]]&lt;=5000, "Middle Income", "High Income"))</f>
        <v>High Income</v>
      </c>
      <c r="AG479" t="s">
        <v>45</v>
      </c>
      <c r="AH479" t="s">
        <v>3635</v>
      </c>
      <c r="AI479" t="str">
        <f t="shared" si="55"/>
        <v>Low-Risk</v>
      </c>
    </row>
    <row r="480" spans="1:35" x14ac:dyDescent="0.35">
      <c r="A480" t="s">
        <v>1835</v>
      </c>
      <c r="B480" t="s">
        <v>1836</v>
      </c>
      <c r="C480" t="s">
        <v>1837</v>
      </c>
      <c r="D480" s="1">
        <v>45038</v>
      </c>
      <c r="E480" s="1" t="str">
        <f t="shared" si="49"/>
        <v>22</v>
      </c>
      <c r="F480" s="1" t="str">
        <f t="shared" si="50"/>
        <v>Apr</v>
      </c>
      <c r="G480" s="6" t="s">
        <v>71</v>
      </c>
      <c r="H480" s="5">
        <v>5310.16</v>
      </c>
      <c r="I480" s="5" t="str">
        <f>IF(fin_table[[#This Row],[Account Balance]]&lt;20000,"Active", "Not Active")</f>
        <v>Not Active</v>
      </c>
      <c r="J480" s="5">
        <v>26178.69</v>
      </c>
      <c r="K480" s="5" t="str">
        <f t="shared" si="51"/>
        <v>Medium</v>
      </c>
      <c r="L480" s="6" t="s">
        <v>35</v>
      </c>
      <c r="M480">
        <v>29</v>
      </c>
      <c r="N480" s="6" t="str">
        <f t="shared" si="52"/>
        <v>Adults</v>
      </c>
      <c r="O480" s="6" t="s">
        <v>25</v>
      </c>
      <c r="P480" s="6" t="s">
        <v>26</v>
      </c>
      <c r="Q480" t="s">
        <v>1411</v>
      </c>
      <c r="R480" s="6" t="s">
        <v>52</v>
      </c>
      <c r="S480" s="6" t="s">
        <v>44</v>
      </c>
      <c r="T480" s="14">
        <v>4.4299999999999999E-2</v>
      </c>
      <c r="U480">
        <v>4.43</v>
      </c>
      <c r="V480" t="str">
        <f>IF(fin_table[[#This Row],[Interest Rate(%)]]&gt;4,"high","low")</f>
        <v>high</v>
      </c>
      <c r="W480" s="5">
        <v>16319.55</v>
      </c>
      <c r="X480" s="5">
        <f>fin_table[[#This Row],[Interest Rate]]*fin_table[[#This Row],[Loan Amount]]</f>
        <v>722.95606499999997</v>
      </c>
      <c r="Y480">
        <v>6</v>
      </c>
      <c r="Z480" s="3">
        <v>430</v>
      </c>
      <c r="AA480" s="3" t="str">
        <f t="shared" si="53"/>
        <v>Poor</v>
      </c>
      <c r="AB480" s="3" cm="1">
        <f t="array" ref="AB480">_xlfn.IFS(fin_table[[#This Row],[Transaction Status]]="Failed", 1, fin_table[[#This Row],[Transaction Status]]="Completed",0,fin_table[[#This Row],[Transaction Status]]="Pending",2)</f>
        <v>0</v>
      </c>
      <c r="AC480" s="3" t="str">
        <f>IF(fin_table[[#This Row],[Loan Defaulters]]=1,"Default", "Good")</f>
        <v>Good</v>
      </c>
      <c r="AD480" s="3">
        <f t="shared" si="54"/>
        <v>1</v>
      </c>
      <c r="AE480" s="4">
        <v>10737.93</v>
      </c>
      <c r="AF480" s="4" t="str">
        <f>IF(fin_table[[#This Row],[Monthly Income]]&lt;3000, "Low Income", IF(fin_table[[#This Row],[Monthly Income]]&lt;=5000, "Middle Income", "High Income"))</f>
        <v>High Income</v>
      </c>
      <c r="AG480" t="s">
        <v>63</v>
      </c>
      <c r="AH480" t="s">
        <v>3636</v>
      </c>
      <c r="AI480" t="str">
        <f t="shared" si="55"/>
        <v>Low-Risk</v>
      </c>
    </row>
    <row r="481" spans="1:35" x14ac:dyDescent="0.35">
      <c r="A481" t="s">
        <v>1838</v>
      </c>
      <c r="B481" t="s">
        <v>1839</v>
      </c>
      <c r="C481" t="s">
        <v>1840</v>
      </c>
      <c r="D481" s="1">
        <v>44976</v>
      </c>
      <c r="E481" s="1" t="str">
        <f t="shared" si="49"/>
        <v>19</v>
      </c>
      <c r="F481" s="1" t="str">
        <f t="shared" si="50"/>
        <v>Feb</v>
      </c>
      <c r="G481" s="6" t="s">
        <v>23</v>
      </c>
      <c r="H481" s="5">
        <v>4685.41</v>
      </c>
      <c r="I481" s="5" t="str">
        <f>IF(fin_table[[#This Row],[Account Balance]]&lt;20000,"Active", "Not Active")</f>
        <v>Not Active</v>
      </c>
      <c r="J481" s="5">
        <v>45261.599999999999</v>
      </c>
      <c r="K481" s="5" t="str">
        <f t="shared" si="51"/>
        <v>Medium</v>
      </c>
      <c r="L481" s="6" t="s">
        <v>35</v>
      </c>
      <c r="M481">
        <v>69</v>
      </c>
      <c r="N481" s="6" t="str">
        <f t="shared" si="52"/>
        <v>Seniors</v>
      </c>
      <c r="O481" s="6" t="s">
        <v>42</v>
      </c>
      <c r="P481" s="6" t="s">
        <v>50</v>
      </c>
      <c r="Q481" t="s">
        <v>1841</v>
      </c>
      <c r="R481" s="6" t="s">
        <v>38</v>
      </c>
      <c r="S481" s="6" t="s">
        <v>62</v>
      </c>
      <c r="T481" s="14">
        <v>2.06E-2</v>
      </c>
      <c r="U481">
        <v>2.06</v>
      </c>
      <c r="V481" t="str">
        <f>IF(fin_table[[#This Row],[Interest Rate(%)]]&gt;4,"high","low")</f>
        <v>low</v>
      </c>
      <c r="W481" s="5">
        <v>20453.93</v>
      </c>
      <c r="X481" s="5">
        <f>fin_table[[#This Row],[Interest Rate]]*fin_table[[#This Row],[Loan Amount]]</f>
        <v>421.35095799999999</v>
      </c>
      <c r="Y481">
        <v>13</v>
      </c>
      <c r="Z481" s="3">
        <v>515</v>
      </c>
      <c r="AA481" s="3" t="str">
        <f t="shared" si="53"/>
        <v>Poor</v>
      </c>
      <c r="AB481" s="3" cm="1">
        <f t="array" ref="AB481">_xlfn.IFS(fin_table[[#This Row],[Transaction Status]]="Failed", 1, fin_table[[#This Row],[Transaction Status]]="Completed",0,fin_table[[#This Row],[Transaction Status]]="Pending",2)</f>
        <v>2</v>
      </c>
      <c r="AC481" s="3" t="str">
        <f>IF(fin_table[[#This Row],[Loan Defaulters]]=1,"Default", "Good")</f>
        <v>Good</v>
      </c>
      <c r="AD481" s="3">
        <f t="shared" si="54"/>
        <v>1</v>
      </c>
      <c r="AE481" s="4">
        <v>3998.69</v>
      </c>
      <c r="AF481" s="4" t="str">
        <f>IF(fin_table[[#This Row],[Monthly Income]]&lt;3000, "Low Income", IF(fin_table[[#This Row],[Monthly Income]]&lt;=5000, "Middle Income", "High Income"))</f>
        <v>Middle Income</v>
      </c>
      <c r="AG481" t="s">
        <v>63</v>
      </c>
      <c r="AH481" t="s">
        <v>3636</v>
      </c>
      <c r="AI481" t="str">
        <f t="shared" si="55"/>
        <v>Low-Risk</v>
      </c>
    </row>
    <row r="482" spans="1:35" x14ac:dyDescent="0.35">
      <c r="A482" t="s">
        <v>1842</v>
      </c>
      <c r="B482" t="s">
        <v>1843</v>
      </c>
      <c r="C482" t="s">
        <v>1844</v>
      </c>
      <c r="D482" s="1">
        <v>44954</v>
      </c>
      <c r="E482" s="1" t="str">
        <f t="shared" si="49"/>
        <v>28</v>
      </c>
      <c r="F482" s="1" t="str">
        <f t="shared" si="50"/>
        <v>Jan</v>
      </c>
      <c r="G482" s="6" t="s">
        <v>71</v>
      </c>
      <c r="H482" s="5">
        <v>2423.0700000000002</v>
      </c>
      <c r="I482" s="5" t="str">
        <f>IF(fin_table[[#This Row],[Account Balance]]&lt;20000,"Active", "Not Active")</f>
        <v>Not Active</v>
      </c>
      <c r="J482" s="5">
        <v>44604.3</v>
      </c>
      <c r="K482" s="5" t="str">
        <f t="shared" si="51"/>
        <v>Medium</v>
      </c>
      <c r="L482" s="6" t="s">
        <v>24</v>
      </c>
      <c r="M482">
        <v>22</v>
      </c>
      <c r="N482" s="6" t="str">
        <f t="shared" si="52"/>
        <v>Young Adults</v>
      </c>
      <c r="O482" s="6" t="s">
        <v>25</v>
      </c>
      <c r="P482" s="6" t="s">
        <v>50</v>
      </c>
      <c r="Q482" t="s">
        <v>1569</v>
      </c>
      <c r="R482" s="6" t="s">
        <v>52</v>
      </c>
      <c r="S482" s="6" t="s">
        <v>44</v>
      </c>
      <c r="T482" s="14">
        <v>3.0599999999999999E-2</v>
      </c>
      <c r="U482">
        <v>3.06</v>
      </c>
      <c r="V482" t="str">
        <f>IF(fin_table[[#This Row],[Interest Rate(%)]]&gt;4,"high","low")</f>
        <v>low</v>
      </c>
      <c r="W482" s="5">
        <v>26681.654999999999</v>
      </c>
      <c r="X482" s="5">
        <f>fin_table[[#This Row],[Interest Rate]]*fin_table[[#This Row],[Loan Amount]]</f>
        <v>816.45864299999994</v>
      </c>
      <c r="Y482">
        <v>13</v>
      </c>
      <c r="Z482" s="3">
        <v>819</v>
      </c>
      <c r="AA482" s="3" t="str">
        <f t="shared" si="53"/>
        <v>Excellent</v>
      </c>
      <c r="AB482" s="3" cm="1">
        <f t="array" ref="AB482">_xlfn.IFS(fin_table[[#This Row],[Transaction Status]]="Failed", 1, fin_table[[#This Row],[Transaction Status]]="Completed",0,fin_table[[#This Row],[Transaction Status]]="Pending",2)</f>
        <v>0</v>
      </c>
      <c r="AC482" s="3" t="str">
        <f>IF(fin_table[[#This Row],[Loan Defaulters]]=1,"Default", "Good")</f>
        <v>Good</v>
      </c>
      <c r="AD482" s="3">
        <f t="shared" si="54"/>
        <v>5</v>
      </c>
      <c r="AE482" s="4">
        <v>3731.95</v>
      </c>
      <c r="AF482" s="4" t="str">
        <f>IF(fin_table[[#This Row],[Monthly Income]]&lt;3000, "Low Income", IF(fin_table[[#This Row],[Monthly Income]]&lt;=5000, "Middle Income", "High Income"))</f>
        <v>Middle Income</v>
      </c>
      <c r="AG482" t="s">
        <v>30</v>
      </c>
      <c r="AH482" t="s">
        <v>3635</v>
      </c>
      <c r="AI482" t="str">
        <f t="shared" si="55"/>
        <v>Low-Risk</v>
      </c>
    </row>
    <row r="483" spans="1:35" x14ac:dyDescent="0.35">
      <c r="A483" t="s">
        <v>1845</v>
      </c>
      <c r="B483" t="s">
        <v>1846</v>
      </c>
      <c r="C483" t="s">
        <v>1847</v>
      </c>
      <c r="D483" s="1">
        <v>45063</v>
      </c>
      <c r="E483" s="1" t="str">
        <f t="shared" si="49"/>
        <v>17</v>
      </c>
      <c r="F483" s="1" t="str">
        <f t="shared" si="50"/>
        <v>May</v>
      </c>
      <c r="G483" s="6" t="s">
        <v>56</v>
      </c>
      <c r="H483" s="5">
        <v>3101.62</v>
      </c>
      <c r="I483" s="5" t="str">
        <f>IF(fin_table[[#This Row],[Account Balance]]&lt;20000,"Active", "Not Active")</f>
        <v>Not Active</v>
      </c>
      <c r="J483" s="5">
        <v>41074.959999999999</v>
      </c>
      <c r="K483" s="5" t="str">
        <f t="shared" si="51"/>
        <v>Medium</v>
      </c>
      <c r="L483" s="6" t="s">
        <v>100</v>
      </c>
      <c r="M483">
        <v>51</v>
      </c>
      <c r="N483" s="6" t="str">
        <f t="shared" si="52"/>
        <v>Older Adults</v>
      </c>
      <c r="O483" s="6" t="s">
        <v>42</v>
      </c>
      <c r="P483" s="6" t="s">
        <v>36</v>
      </c>
      <c r="Q483" t="s">
        <v>1848</v>
      </c>
      <c r="R483" s="6" t="s">
        <v>52</v>
      </c>
      <c r="S483" s="6" t="s">
        <v>29</v>
      </c>
      <c r="T483" s="14">
        <v>1.43E-2</v>
      </c>
      <c r="U483">
        <v>1.43</v>
      </c>
      <c r="V483" t="str">
        <f>IF(fin_table[[#This Row],[Interest Rate(%)]]&gt;4,"high","low")</f>
        <v>low</v>
      </c>
      <c r="W483" s="5">
        <v>13639.64</v>
      </c>
      <c r="X483" s="5">
        <f>fin_table[[#This Row],[Interest Rate]]*fin_table[[#This Row],[Loan Amount]]</f>
        <v>195.046852</v>
      </c>
      <c r="Y483">
        <v>29</v>
      </c>
      <c r="Z483" s="3">
        <v>644</v>
      </c>
      <c r="AA483" s="3" t="str">
        <f t="shared" si="53"/>
        <v>Fair</v>
      </c>
      <c r="AB483" s="3" cm="1">
        <f t="array" ref="AB483">_xlfn.IFS(fin_table[[#This Row],[Transaction Status]]="Failed", 1, fin_table[[#This Row],[Transaction Status]]="Completed",0,fin_table[[#This Row],[Transaction Status]]="Pending",2)</f>
        <v>1</v>
      </c>
      <c r="AC483" s="3" t="str">
        <f>IF(fin_table[[#This Row],[Loan Defaulters]]=1,"Default", "Good")</f>
        <v>Default</v>
      </c>
      <c r="AD483" s="3">
        <f t="shared" si="54"/>
        <v>2</v>
      </c>
      <c r="AE483" s="4">
        <v>4655.4399999999996</v>
      </c>
      <c r="AF483" s="4" t="str">
        <f>IF(fin_table[[#This Row],[Monthly Income]]&lt;3000, "Low Income", IF(fin_table[[#This Row],[Monthly Income]]&lt;=5000, "Middle Income", "High Income"))</f>
        <v>Middle Income</v>
      </c>
      <c r="AG483" t="s">
        <v>45</v>
      </c>
      <c r="AH483" t="s">
        <v>3636</v>
      </c>
      <c r="AI483" t="str">
        <f t="shared" si="55"/>
        <v>Low-Risk</v>
      </c>
    </row>
    <row r="484" spans="1:35" x14ac:dyDescent="0.35">
      <c r="A484" t="s">
        <v>1849</v>
      </c>
      <c r="B484" t="s">
        <v>1850</v>
      </c>
      <c r="C484" t="s">
        <v>1851</v>
      </c>
      <c r="D484" s="1">
        <v>44821</v>
      </c>
      <c r="E484" s="1" t="str">
        <f t="shared" si="49"/>
        <v>17</v>
      </c>
      <c r="F484" s="1" t="str">
        <f t="shared" si="50"/>
        <v>Sep</v>
      </c>
      <c r="G484" s="6" t="s">
        <v>34</v>
      </c>
      <c r="H484" s="5">
        <v>2970.7</v>
      </c>
      <c r="I484" s="5" t="str">
        <f>IF(fin_table[[#This Row],[Account Balance]]&lt;20000,"Active", "Not Active")</f>
        <v>Not Active</v>
      </c>
      <c r="J484" s="5">
        <v>25997.27</v>
      </c>
      <c r="K484" s="5" t="str">
        <f t="shared" si="51"/>
        <v>Medium</v>
      </c>
      <c r="L484" s="6" t="s">
        <v>24</v>
      </c>
      <c r="M484">
        <v>59</v>
      </c>
      <c r="N484" s="6" t="str">
        <f t="shared" si="52"/>
        <v>Older Adults</v>
      </c>
      <c r="O484" s="6" t="s">
        <v>25</v>
      </c>
      <c r="P484" s="6" t="s">
        <v>36</v>
      </c>
      <c r="Q484" t="s">
        <v>1852</v>
      </c>
      <c r="R484" s="6" t="s">
        <v>52</v>
      </c>
      <c r="S484" s="6" t="s">
        <v>62</v>
      </c>
      <c r="T484" s="14">
        <v>3.6400000000000002E-2</v>
      </c>
      <c r="U484">
        <v>3.64</v>
      </c>
      <c r="V484" t="str">
        <f>IF(fin_table[[#This Row],[Interest Rate(%)]]&gt;4,"high","low")</f>
        <v>low</v>
      </c>
      <c r="W484" s="5">
        <v>15119.38</v>
      </c>
      <c r="X484" s="5">
        <f>fin_table[[#This Row],[Interest Rate]]*fin_table[[#This Row],[Loan Amount]]</f>
        <v>550.34543199999996</v>
      </c>
      <c r="Y484">
        <v>13</v>
      </c>
      <c r="Z484" s="3">
        <v>807</v>
      </c>
      <c r="AA484" s="3" t="str">
        <f t="shared" si="53"/>
        <v>Excellent</v>
      </c>
      <c r="AB484" s="3" cm="1">
        <f t="array" ref="AB484">_xlfn.IFS(fin_table[[#This Row],[Transaction Status]]="Failed", 1, fin_table[[#This Row],[Transaction Status]]="Completed",0,fin_table[[#This Row],[Transaction Status]]="Pending",2)</f>
        <v>2</v>
      </c>
      <c r="AC484" s="3" t="str">
        <f>IF(fin_table[[#This Row],[Loan Defaulters]]=1,"Default", "Good")</f>
        <v>Good</v>
      </c>
      <c r="AD484" s="3">
        <f t="shared" si="54"/>
        <v>5</v>
      </c>
      <c r="AE484" s="4">
        <v>11967.25</v>
      </c>
      <c r="AF484" s="4" t="str">
        <f>IF(fin_table[[#This Row],[Monthly Income]]&lt;3000, "Low Income", IF(fin_table[[#This Row],[Monthly Income]]&lt;=5000, "Middle Income", "High Income"))</f>
        <v>High Income</v>
      </c>
      <c r="AG484" t="s">
        <v>63</v>
      </c>
      <c r="AH484" t="s">
        <v>3636</v>
      </c>
      <c r="AI484" t="str">
        <f t="shared" si="55"/>
        <v>Low-Risk</v>
      </c>
    </row>
    <row r="485" spans="1:35" x14ac:dyDescent="0.35">
      <c r="A485" t="s">
        <v>1853</v>
      </c>
      <c r="B485" t="s">
        <v>1854</v>
      </c>
      <c r="C485" t="s">
        <v>1855</v>
      </c>
      <c r="D485" s="1">
        <v>45077</v>
      </c>
      <c r="E485" s="1" t="str">
        <f t="shared" si="49"/>
        <v>31</v>
      </c>
      <c r="F485" s="1" t="str">
        <f t="shared" si="50"/>
        <v>May</v>
      </c>
      <c r="G485" s="6" t="s">
        <v>23</v>
      </c>
      <c r="H485" s="5">
        <v>5676.56</v>
      </c>
      <c r="I485" s="5" t="str">
        <f>IF(fin_table[[#This Row],[Account Balance]]&lt;20000,"Active", "Not Active")</f>
        <v>Not Active</v>
      </c>
      <c r="J485" s="5">
        <v>37075.75</v>
      </c>
      <c r="K485" s="5" t="str">
        <f t="shared" si="51"/>
        <v>Medium</v>
      </c>
      <c r="L485" s="6" t="s">
        <v>100</v>
      </c>
      <c r="M485">
        <v>18</v>
      </c>
      <c r="N485" s="6" t="str">
        <f t="shared" si="52"/>
        <v>Young Adults</v>
      </c>
      <c r="O485" s="6" t="s">
        <v>42</v>
      </c>
      <c r="P485" s="6" t="s">
        <v>50</v>
      </c>
      <c r="Q485" t="s">
        <v>1856</v>
      </c>
      <c r="R485" s="6" t="s">
        <v>28</v>
      </c>
      <c r="S485" s="6" t="s">
        <v>44</v>
      </c>
      <c r="T485" s="14">
        <v>4.3400000000000001E-2</v>
      </c>
      <c r="U485">
        <v>4.34</v>
      </c>
      <c r="V485" t="str">
        <f>IF(fin_table[[#This Row],[Interest Rate(%)]]&gt;4,"high","low")</f>
        <v>high</v>
      </c>
      <c r="W485" s="5">
        <v>26681.654999999999</v>
      </c>
      <c r="X485" s="5">
        <f>fin_table[[#This Row],[Interest Rate]]*fin_table[[#This Row],[Loan Amount]]</f>
        <v>1157.983827</v>
      </c>
      <c r="Y485">
        <v>25</v>
      </c>
      <c r="Z485" s="3">
        <v>712</v>
      </c>
      <c r="AA485" s="3" t="str">
        <f t="shared" si="53"/>
        <v>Good</v>
      </c>
      <c r="AB485" s="3" cm="1">
        <f t="array" ref="AB485">_xlfn.IFS(fin_table[[#This Row],[Transaction Status]]="Failed", 1, fin_table[[#This Row],[Transaction Status]]="Completed",0,fin_table[[#This Row],[Transaction Status]]="Pending",2)</f>
        <v>0</v>
      </c>
      <c r="AC485" s="3" t="str">
        <f>IF(fin_table[[#This Row],[Loan Defaulters]]=1,"Default", "Good")</f>
        <v>Good</v>
      </c>
      <c r="AD485" s="3">
        <f t="shared" si="54"/>
        <v>3</v>
      </c>
      <c r="AE485" s="4">
        <v>5839.9</v>
      </c>
      <c r="AF485" s="4" t="str">
        <f>IF(fin_table[[#This Row],[Monthly Income]]&lt;3000, "Low Income", IF(fin_table[[#This Row],[Monthly Income]]&lt;=5000, "Middle Income", "High Income"))</f>
        <v>High Income</v>
      </c>
      <c r="AG485" t="s">
        <v>30</v>
      </c>
      <c r="AH485" t="s">
        <v>3635</v>
      </c>
      <c r="AI485" t="str">
        <f t="shared" si="55"/>
        <v>Low-Risk</v>
      </c>
    </row>
    <row r="486" spans="1:35" x14ac:dyDescent="0.35">
      <c r="A486" t="s">
        <v>1857</v>
      </c>
      <c r="B486" t="s">
        <v>1858</v>
      </c>
      <c r="C486" t="s">
        <v>1859</v>
      </c>
      <c r="D486" s="1">
        <v>45062</v>
      </c>
      <c r="E486" s="1" t="str">
        <f t="shared" si="49"/>
        <v>16</v>
      </c>
      <c r="F486" s="1" t="str">
        <f t="shared" si="50"/>
        <v>May</v>
      </c>
      <c r="G486" s="6" t="s">
        <v>34</v>
      </c>
      <c r="H486" s="5">
        <v>1287.54</v>
      </c>
      <c r="I486" s="5" t="str">
        <f>IF(fin_table[[#This Row],[Account Balance]]&lt;20000,"Active", "Not Active")</f>
        <v>Not Active</v>
      </c>
      <c r="J486" s="5">
        <v>26131.96</v>
      </c>
      <c r="K486" s="5" t="str">
        <f t="shared" si="51"/>
        <v>Medium</v>
      </c>
      <c r="L486" s="6" t="s">
        <v>49</v>
      </c>
      <c r="M486">
        <v>56</v>
      </c>
      <c r="N486" s="6" t="str">
        <f t="shared" si="52"/>
        <v>Older Adults</v>
      </c>
      <c r="O486" s="6" t="s">
        <v>25</v>
      </c>
      <c r="P486" s="6" t="s">
        <v>50</v>
      </c>
      <c r="Q486" t="s">
        <v>1860</v>
      </c>
      <c r="R486" s="6" t="s">
        <v>52</v>
      </c>
      <c r="S486" s="6" t="s">
        <v>62</v>
      </c>
      <c r="T486" s="14">
        <v>3.8699999999999998E-2</v>
      </c>
      <c r="U486">
        <v>3.87</v>
      </c>
      <c r="V486" t="str">
        <f>IF(fin_table[[#This Row],[Interest Rate(%)]]&gt;4,"high","low")</f>
        <v>low</v>
      </c>
      <c r="W486" s="5">
        <v>26681.654999999999</v>
      </c>
      <c r="X486" s="5">
        <f>fin_table[[#This Row],[Interest Rate]]*fin_table[[#This Row],[Loan Amount]]</f>
        <v>1032.5800485</v>
      </c>
      <c r="Y486">
        <v>2</v>
      </c>
      <c r="Z486" s="3">
        <v>545</v>
      </c>
      <c r="AA486" s="3" t="str">
        <f t="shared" si="53"/>
        <v>Poor</v>
      </c>
      <c r="AB486" s="3" cm="1">
        <f t="array" ref="AB486">_xlfn.IFS(fin_table[[#This Row],[Transaction Status]]="Failed", 1, fin_table[[#This Row],[Transaction Status]]="Completed",0,fin_table[[#This Row],[Transaction Status]]="Pending",2)</f>
        <v>2</v>
      </c>
      <c r="AC486" s="3" t="str">
        <f>IF(fin_table[[#This Row],[Loan Defaulters]]=1,"Default", "Good")</f>
        <v>Good</v>
      </c>
      <c r="AD486" s="3">
        <f t="shared" si="54"/>
        <v>1</v>
      </c>
      <c r="AE486" s="4">
        <v>2278.06</v>
      </c>
      <c r="AF486" s="4" t="str">
        <f>IF(fin_table[[#This Row],[Monthly Income]]&lt;3000, "Low Income", IF(fin_table[[#This Row],[Monthly Income]]&lt;=5000, "Middle Income", "High Income"))</f>
        <v>Low Income</v>
      </c>
      <c r="AG486" t="s">
        <v>30</v>
      </c>
      <c r="AH486" t="s">
        <v>3635</v>
      </c>
      <c r="AI486" t="str">
        <f t="shared" si="55"/>
        <v>Low-Risk</v>
      </c>
    </row>
    <row r="487" spans="1:35" x14ac:dyDescent="0.35">
      <c r="A487" t="s">
        <v>1861</v>
      </c>
      <c r="B487" t="s">
        <v>1862</v>
      </c>
      <c r="C487" t="s">
        <v>1863</v>
      </c>
      <c r="D487" s="1">
        <v>44649</v>
      </c>
      <c r="E487" s="1" t="str">
        <f t="shared" si="49"/>
        <v>29</v>
      </c>
      <c r="F487" s="1" t="str">
        <f t="shared" si="50"/>
        <v>Mar</v>
      </c>
      <c r="G487" s="6" t="s">
        <v>56</v>
      </c>
      <c r="H487" s="5">
        <v>9176.24</v>
      </c>
      <c r="I487" s="5" t="str">
        <f>IF(fin_table[[#This Row],[Account Balance]]&lt;20000,"Active", "Not Active")</f>
        <v>Not Active</v>
      </c>
      <c r="J487" s="5">
        <v>43610.7</v>
      </c>
      <c r="K487" s="5" t="str">
        <f t="shared" si="51"/>
        <v>Medium</v>
      </c>
      <c r="L487" s="6" t="s">
        <v>100</v>
      </c>
      <c r="M487">
        <v>49</v>
      </c>
      <c r="N487" s="6" t="str">
        <f t="shared" si="52"/>
        <v>Older Adults</v>
      </c>
      <c r="O487" s="6" t="s">
        <v>25</v>
      </c>
      <c r="P487" s="6" t="s">
        <v>26</v>
      </c>
      <c r="Q487" t="s">
        <v>785</v>
      </c>
      <c r="R487" s="6" t="s">
        <v>38</v>
      </c>
      <c r="S487" s="6" t="s">
        <v>62</v>
      </c>
      <c r="T487" s="14">
        <v>3.09E-2</v>
      </c>
      <c r="U487">
        <v>3.09</v>
      </c>
      <c r="V487" t="str">
        <f>IF(fin_table[[#This Row],[Interest Rate(%)]]&gt;4,"high","low")</f>
        <v>low</v>
      </c>
      <c r="W487" s="5">
        <v>34376.6</v>
      </c>
      <c r="X487" s="5">
        <f>fin_table[[#This Row],[Interest Rate]]*fin_table[[#This Row],[Loan Amount]]</f>
        <v>1062.23694</v>
      </c>
      <c r="Y487">
        <v>13</v>
      </c>
      <c r="Z487" s="3">
        <v>748</v>
      </c>
      <c r="AA487" s="3" t="str">
        <f t="shared" si="53"/>
        <v>Very Good</v>
      </c>
      <c r="AB487" s="3" cm="1">
        <f t="array" ref="AB487">_xlfn.IFS(fin_table[[#This Row],[Transaction Status]]="Failed", 1, fin_table[[#This Row],[Transaction Status]]="Completed",0,fin_table[[#This Row],[Transaction Status]]="Pending",2)</f>
        <v>2</v>
      </c>
      <c r="AC487" s="3" t="str">
        <f>IF(fin_table[[#This Row],[Loan Defaulters]]=1,"Default", "Good")</f>
        <v>Good</v>
      </c>
      <c r="AD487" s="3">
        <f t="shared" si="54"/>
        <v>4</v>
      </c>
      <c r="AE487" s="4">
        <v>14274.27</v>
      </c>
      <c r="AF487" s="4" t="str">
        <f>IF(fin_table[[#This Row],[Monthly Income]]&lt;3000, "Low Income", IF(fin_table[[#This Row],[Monthly Income]]&lt;=5000, "Middle Income", "High Income"))</f>
        <v>High Income</v>
      </c>
      <c r="AG487" t="s">
        <v>30</v>
      </c>
      <c r="AH487" t="s">
        <v>3636</v>
      </c>
      <c r="AI487" t="str">
        <f t="shared" si="55"/>
        <v>Low-Risk</v>
      </c>
    </row>
    <row r="488" spans="1:35" x14ac:dyDescent="0.35">
      <c r="A488" t="s">
        <v>1864</v>
      </c>
      <c r="B488" t="s">
        <v>1865</v>
      </c>
      <c r="C488" t="s">
        <v>1866</v>
      </c>
      <c r="D488" s="1">
        <v>44612</v>
      </c>
      <c r="E488" s="1" t="str">
        <f t="shared" si="49"/>
        <v>20</v>
      </c>
      <c r="F488" s="1" t="str">
        <f t="shared" si="50"/>
        <v>Feb</v>
      </c>
      <c r="G488" s="6" t="s">
        <v>56</v>
      </c>
      <c r="H488" s="5">
        <v>7234.49</v>
      </c>
      <c r="I488" s="5" t="str">
        <f>IF(fin_table[[#This Row],[Account Balance]]&lt;20000,"Active", "Not Active")</f>
        <v>Not Active</v>
      </c>
      <c r="J488" s="5">
        <v>20736.02</v>
      </c>
      <c r="K488" s="5" t="str">
        <f t="shared" si="51"/>
        <v>Medium</v>
      </c>
      <c r="L488" s="6" t="s">
        <v>49</v>
      </c>
      <c r="M488">
        <v>43</v>
      </c>
      <c r="N488" s="6" t="str">
        <f t="shared" si="52"/>
        <v>Middle-Aged</v>
      </c>
      <c r="O488" s="6" t="s">
        <v>42</v>
      </c>
      <c r="P488" s="6" t="s">
        <v>50</v>
      </c>
      <c r="Q488" t="s">
        <v>1867</v>
      </c>
      <c r="R488" s="6" t="s">
        <v>52</v>
      </c>
      <c r="S488" s="6" t="s">
        <v>62</v>
      </c>
      <c r="T488" s="14">
        <v>1.18E-2</v>
      </c>
      <c r="U488">
        <v>1.18</v>
      </c>
      <c r="V488" t="str">
        <f>IF(fin_table[[#This Row],[Interest Rate(%)]]&gt;4,"high","low")</f>
        <v>low</v>
      </c>
      <c r="W488" s="5">
        <v>26681.654999999999</v>
      </c>
      <c r="X488" s="5">
        <f>fin_table[[#This Row],[Interest Rate]]*fin_table[[#This Row],[Loan Amount]]</f>
        <v>314.84352899999999</v>
      </c>
      <c r="Y488">
        <v>13</v>
      </c>
      <c r="Z488" s="3">
        <v>320</v>
      </c>
      <c r="AA488" s="3" t="str">
        <f t="shared" si="53"/>
        <v>Poor</v>
      </c>
      <c r="AB488" s="3" cm="1">
        <f t="array" ref="AB488">_xlfn.IFS(fin_table[[#This Row],[Transaction Status]]="Failed", 1, fin_table[[#This Row],[Transaction Status]]="Completed",0,fin_table[[#This Row],[Transaction Status]]="Pending",2)</f>
        <v>2</v>
      </c>
      <c r="AC488" s="3" t="str">
        <f>IF(fin_table[[#This Row],[Loan Defaulters]]=1,"Default", "Good")</f>
        <v>Good</v>
      </c>
      <c r="AD488" s="3">
        <f t="shared" si="54"/>
        <v>1</v>
      </c>
      <c r="AE488" s="4">
        <v>4206.2700000000004</v>
      </c>
      <c r="AF488" s="4" t="str">
        <f>IF(fin_table[[#This Row],[Monthly Income]]&lt;3000, "Low Income", IF(fin_table[[#This Row],[Monthly Income]]&lt;=5000, "Middle Income", "High Income"))</f>
        <v>Middle Income</v>
      </c>
      <c r="AG488" t="s">
        <v>63</v>
      </c>
      <c r="AH488" t="s">
        <v>3635</v>
      </c>
      <c r="AI488" t="str">
        <f t="shared" si="55"/>
        <v>Low-Risk</v>
      </c>
    </row>
    <row r="489" spans="1:35" x14ac:dyDescent="0.35">
      <c r="A489" t="s">
        <v>1868</v>
      </c>
      <c r="B489" t="s">
        <v>1869</v>
      </c>
      <c r="C489" t="s">
        <v>1870</v>
      </c>
      <c r="D489" s="1">
        <v>44963</v>
      </c>
      <c r="E489" s="1" t="str">
        <f t="shared" si="49"/>
        <v>06</v>
      </c>
      <c r="F489" s="1" t="str">
        <f t="shared" si="50"/>
        <v>Feb</v>
      </c>
      <c r="G489" s="6" t="s">
        <v>71</v>
      </c>
      <c r="H489" s="5">
        <v>4074.31</v>
      </c>
      <c r="I489" s="5" t="str">
        <f>IF(fin_table[[#This Row],[Account Balance]]&lt;20000,"Active", "Not Active")</f>
        <v>Not Active</v>
      </c>
      <c r="J489" s="5">
        <v>48541.53</v>
      </c>
      <c r="K489" s="5" t="str">
        <f t="shared" si="51"/>
        <v>Medium</v>
      </c>
      <c r="L489" s="6" t="s">
        <v>49</v>
      </c>
      <c r="M489">
        <v>34</v>
      </c>
      <c r="N489" s="6" t="str">
        <f t="shared" si="52"/>
        <v>Adults</v>
      </c>
      <c r="O489" s="6" t="s">
        <v>42</v>
      </c>
      <c r="P489" s="6" t="s">
        <v>36</v>
      </c>
      <c r="Q489" t="s">
        <v>1871</v>
      </c>
      <c r="R489" s="6" t="s">
        <v>52</v>
      </c>
      <c r="S489" s="6" t="s">
        <v>29</v>
      </c>
      <c r="T489" s="14">
        <v>4.7300000000000002E-2</v>
      </c>
      <c r="U489">
        <v>4.7300000000000004</v>
      </c>
      <c r="V489" t="str">
        <f>IF(fin_table[[#This Row],[Interest Rate(%)]]&gt;4,"high","low")</f>
        <v>high</v>
      </c>
      <c r="W489" s="5">
        <v>26681.654999999999</v>
      </c>
      <c r="X489" s="5">
        <f>fin_table[[#This Row],[Interest Rate]]*fin_table[[#This Row],[Loan Amount]]</f>
        <v>1262.0422814999999</v>
      </c>
      <c r="Y489">
        <v>13</v>
      </c>
      <c r="Z489" s="3">
        <v>707</v>
      </c>
      <c r="AA489" s="3" t="str">
        <f t="shared" si="53"/>
        <v>Good</v>
      </c>
      <c r="AB489" s="3" cm="1">
        <f t="array" ref="AB489">_xlfn.IFS(fin_table[[#This Row],[Transaction Status]]="Failed", 1, fin_table[[#This Row],[Transaction Status]]="Completed",0,fin_table[[#This Row],[Transaction Status]]="Pending",2)</f>
        <v>1</v>
      </c>
      <c r="AC489" s="3" t="str">
        <f>IF(fin_table[[#This Row],[Loan Defaulters]]=1,"Default", "Good")</f>
        <v>Default</v>
      </c>
      <c r="AD489" s="3">
        <f t="shared" si="54"/>
        <v>3</v>
      </c>
      <c r="AE489" s="4">
        <v>2124.2600000000002</v>
      </c>
      <c r="AF489" s="4" t="str">
        <f>IF(fin_table[[#This Row],[Monthly Income]]&lt;3000, "Low Income", IF(fin_table[[#This Row],[Monthly Income]]&lt;=5000, "Middle Income", "High Income"))</f>
        <v>Low Income</v>
      </c>
      <c r="AG489" t="s">
        <v>45</v>
      </c>
      <c r="AH489" t="s">
        <v>3635</v>
      </c>
      <c r="AI489" t="str">
        <f t="shared" si="55"/>
        <v>Low-Risk</v>
      </c>
    </row>
    <row r="490" spans="1:35" x14ac:dyDescent="0.35">
      <c r="A490" t="s">
        <v>1872</v>
      </c>
      <c r="B490" t="s">
        <v>1873</v>
      </c>
      <c r="C490" t="s">
        <v>1874</v>
      </c>
      <c r="D490" s="1">
        <v>44678</v>
      </c>
      <c r="E490" s="1" t="str">
        <f t="shared" si="49"/>
        <v>27</v>
      </c>
      <c r="F490" s="1" t="str">
        <f t="shared" si="50"/>
        <v>Apr</v>
      </c>
      <c r="G490" s="6" t="s">
        <v>23</v>
      </c>
      <c r="H490" s="5">
        <v>1670.38</v>
      </c>
      <c r="I490" s="5" t="str">
        <f>IF(fin_table[[#This Row],[Account Balance]]&lt;20000,"Active", "Not Active")</f>
        <v>Not Active</v>
      </c>
      <c r="J490" s="5">
        <v>46683.82</v>
      </c>
      <c r="K490" s="5" t="str">
        <f t="shared" si="51"/>
        <v>Medium</v>
      </c>
      <c r="L490" s="6" t="s">
        <v>100</v>
      </c>
      <c r="M490">
        <v>65</v>
      </c>
      <c r="N490" s="6" t="str">
        <f t="shared" si="52"/>
        <v>Seniors</v>
      </c>
      <c r="O490" s="6" t="s">
        <v>42</v>
      </c>
      <c r="P490" s="6" t="s">
        <v>50</v>
      </c>
      <c r="Q490" t="s">
        <v>818</v>
      </c>
      <c r="R490" s="6" t="s">
        <v>28</v>
      </c>
      <c r="S490" s="6" t="s">
        <v>44</v>
      </c>
      <c r="T490" s="14">
        <v>3.8199999999999998E-2</v>
      </c>
      <c r="U490">
        <v>3.82</v>
      </c>
      <c r="V490" t="str">
        <f>IF(fin_table[[#This Row],[Interest Rate(%)]]&gt;4,"high","low")</f>
        <v>low</v>
      </c>
      <c r="W490" s="5">
        <v>13267.78</v>
      </c>
      <c r="X490" s="5">
        <f>fin_table[[#This Row],[Interest Rate]]*fin_table[[#This Row],[Loan Amount]]</f>
        <v>506.82919600000002</v>
      </c>
      <c r="Y490">
        <v>13</v>
      </c>
      <c r="Z490" s="3">
        <v>756</v>
      </c>
      <c r="AA490" s="3" t="str">
        <f t="shared" si="53"/>
        <v>Very Good</v>
      </c>
      <c r="AB490" s="3" cm="1">
        <f t="array" ref="AB490">_xlfn.IFS(fin_table[[#This Row],[Transaction Status]]="Failed", 1, fin_table[[#This Row],[Transaction Status]]="Completed",0,fin_table[[#This Row],[Transaction Status]]="Pending",2)</f>
        <v>0</v>
      </c>
      <c r="AC490" s="3" t="str">
        <f>IF(fin_table[[#This Row],[Loan Defaulters]]=1,"Default", "Good")</f>
        <v>Good</v>
      </c>
      <c r="AD490" s="3">
        <f t="shared" si="54"/>
        <v>4</v>
      </c>
      <c r="AE490" s="4">
        <v>5082.71</v>
      </c>
      <c r="AF490" s="4" t="str">
        <f>IF(fin_table[[#This Row],[Monthly Income]]&lt;3000, "Low Income", IF(fin_table[[#This Row],[Monthly Income]]&lt;=5000, "Middle Income", "High Income"))</f>
        <v>High Income</v>
      </c>
      <c r="AG490" t="s">
        <v>63</v>
      </c>
      <c r="AH490" t="s">
        <v>3636</v>
      </c>
      <c r="AI490" t="str">
        <f t="shared" si="55"/>
        <v>Low-Risk</v>
      </c>
    </row>
    <row r="491" spans="1:35" x14ac:dyDescent="0.35">
      <c r="A491" t="s">
        <v>1875</v>
      </c>
      <c r="B491" t="s">
        <v>1876</v>
      </c>
      <c r="C491" t="s">
        <v>1877</v>
      </c>
      <c r="D491" s="1">
        <v>45051</v>
      </c>
      <c r="E491" s="1" t="str">
        <f t="shared" si="49"/>
        <v>05</v>
      </c>
      <c r="F491" s="1" t="str">
        <f t="shared" si="50"/>
        <v>May</v>
      </c>
      <c r="G491" s="6" t="s">
        <v>71</v>
      </c>
      <c r="H491" s="5">
        <v>8831.7199999999993</v>
      </c>
      <c r="I491" s="5" t="str">
        <f>IF(fin_table[[#This Row],[Account Balance]]&lt;20000,"Active", "Not Active")</f>
        <v>Not Active</v>
      </c>
      <c r="J491" s="5">
        <v>37338.53</v>
      </c>
      <c r="K491" s="5" t="str">
        <f t="shared" si="51"/>
        <v>Medium</v>
      </c>
      <c r="L491" s="6" t="s">
        <v>125</v>
      </c>
      <c r="M491">
        <v>44</v>
      </c>
      <c r="N491" s="6" t="str">
        <f t="shared" si="52"/>
        <v>Middle-Aged</v>
      </c>
      <c r="O491" s="6" t="s">
        <v>42</v>
      </c>
      <c r="P491" s="6" t="s">
        <v>26</v>
      </c>
      <c r="Q491" t="s">
        <v>921</v>
      </c>
      <c r="R491" s="6" t="s">
        <v>52</v>
      </c>
      <c r="S491" s="6" t="s">
        <v>62</v>
      </c>
      <c r="T491" s="14">
        <v>3.9800000000000002E-2</v>
      </c>
      <c r="U491">
        <v>3.98</v>
      </c>
      <c r="V491" t="str">
        <f>IF(fin_table[[#This Row],[Interest Rate(%)]]&gt;4,"high","low")</f>
        <v>low</v>
      </c>
      <c r="W491" s="5">
        <v>22048.14</v>
      </c>
      <c r="X491" s="5">
        <f>fin_table[[#This Row],[Interest Rate]]*fin_table[[#This Row],[Loan Amount]]</f>
        <v>877.51597200000003</v>
      </c>
      <c r="Y491">
        <v>13</v>
      </c>
      <c r="Z491" s="3">
        <v>743</v>
      </c>
      <c r="AA491" s="3" t="str">
        <f t="shared" si="53"/>
        <v>Very Good</v>
      </c>
      <c r="AB491" s="3" cm="1">
        <f t="array" ref="AB491">_xlfn.IFS(fin_table[[#This Row],[Transaction Status]]="Failed", 1, fin_table[[#This Row],[Transaction Status]]="Completed",0,fin_table[[#This Row],[Transaction Status]]="Pending",2)</f>
        <v>2</v>
      </c>
      <c r="AC491" s="3" t="str">
        <f>IF(fin_table[[#This Row],[Loan Defaulters]]=1,"Default", "Good")</f>
        <v>Good</v>
      </c>
      <c r="AD491" s="3">
        <f t="shared" si="54"/>
        <v>4</v>
      </c>
      <c r="AE491" s="4">
        <v>5055.37</v>
      </c>
      <c r="AF491" s="4" t="str">
        <f>IF(fin_table[[#This Row],[Monthly Income]]&lt;3000, "Low Income", IF(fin_table[[#This Row],[Monthly Income]]&lt;=5000, "Middle Income", "High Income"))</f>
        <v>High Income</v>
      </c>
      <c r="AG491" t="s">
        <v>63</v>
      </c>
      <c r="AH491" t="s">
        <v>3636</v>
      </c>
      <c r="AI491" t="str">
        <f t="shared" si="55"/>
        <v>Low-Risk</v>
      </c>
    </row>
    <row r="492" spans="1:35" x14ac:dyDescent="0.35">
      <c r="A492" t="s">
        <v>1878</v>
      </c>
      <c r="B492" t="s">
        <v>1879</v>
      </c>
      <c r="C492" t="s">
        <v>1880</v>
      </c>
      <c r="D492" s="1">
        <v>44863</v>
      </c>
      <c r="E492" s="1" t="str">
        <f t="shared" si="49"/>
        <v>29</v>
      </c>
      <c r="F492" s="1" t="str">
        <f t="shared" si="50"/>
        <v>Oct</v>
      </c>
      <c r="G492" s="6" t="s">
        <v>56</v>
      </c>
      <c r="H492" s="5">
        <v>8255.4</v>
      </c>
      <c r="I492" s="5" t="str">
        <f>IF(fin_table[[#This Row],[Account Balance]]&lt;20000,"Active", "Not Active")</f>
        <v>Active</v>
      </c>
      <c r="J492" s="5">
        <v>14691.38</v>
      </c>
      <c r="K492" s="5" t="str">
        <f t="shared" si="51"/>
        <v>Medium</v>
      </c>
      <c r="L492" s="6" t="s">
        <v>100</v>
      </c>
      <c r="M492">
        <v>41</v>
      </c>
      <c r="N492" s="6" t="str">
        <f t="shared" si="52"/>
        <v>Middle-Aged</v>
      </c>
      <c r="O492" s="6" t="s">
        <v>42</v>
      </c>
      <c r="P492" s="6" t="s">
        <v>36</v>
      </c>
      <c r="Q492" t="s">
        <v>1512</v>
      </c>
      <c r="R492" s="6" t="s">
        <v>38</v>
      </c>
      <c r="S492" s="6" t="s">
        <v>62</v>
      </c>
      <c r="T492" s="14">
        <v>4.1799999999999997E-2</v>
      </c>
      <c r="U492">
        <v>4.18</v>
      </c>
      <c r="V492" t="str">
        <f>IF(fin_table[[#This Row],[Interest Rate(%)]]&gt;4,"high","low")</f>
        <v>high</v>
      </c>
      <c r="W492" s="5">
        <v>26681.654999999999</v>
      </c>
      <c r="X492" s="5">
        <f>fin_table[[#This Row],[Interest Rate]]*fin_table[[#This Row],[Loan Amount]]</f>
        <v>1115.2931789999998</v>
      </c>
      <c r="Y492">
        <v>13</v>
      </c>
      <c r="Z492" s="3">
        <v>564</v>
      </c>
      <c r="AA492" s="3" t="str">
        <f t="shared" si="53"/>
        <v>Poor</v>
      </c>
      <c r="AB492" s="3" cm="1">
        <f t="array" ref="AB492">_xlfn.IFS(fin_table[[#This Row],[Transaction Status]]="Failed", 1, fin_table[[#This Row],[Transaction Status]]="Completed",0,fin_table[[#This Row],[Transaction Status]]="Pending",2)</f>
        <v>2</v>
      </c>
      <c r="AC492" s="3" t="str">
        <f>IF(fin_table[[#This Row],[Loan Defaulters]]=1,"Default", "Good")</f>
        <v>Good</v>
      </c>
      <c r="AD492" s="3">
        <f t="shared" si="54"/>
        <v>1</v>
      </c>
      <c r="AE492" s="4">
        <v>7486.07</v>
      </c>
      <c r="AF492" s="4" t="str">
        <f>IF(fin_table[[#This Row],[Monthly Income]]&lt;3000, "Low Income", IF(fin_table[[#This Row],[Monthly Income]]&lt;=5000, "Middle Income", "High Income"))</f>
        <v>High Income</v>
      </c>
      <c r="AG492" t="s">
        <v>45</v>
      </c>
      <c r="AH492" t="s">
        <v>3635</v>
      </c>
      <c r="AI492" t="str">
        <f t="shared" si="55"/>
        <v>Low-Risk</v>
      </c>
    </row>
    <row r="493" spans="1:35" x14ac:dyDescent="0.35">
      <c r="A493" t="s">
        <v>1881</v>
      </c>
      <c r="B493" t="s">
        <v>1882</v>
      </c>
      <c r="C493" t="s">
        <v>1883</v>
      </c>
      <c r="D493" s="1">
        <v>45114</v>
      </c>
      <c r="E493" s="1" t="str">
        <f t="shared" si="49"/>
        <v>07</v>
      </c>
      <c r="F493" s="1" t="str">
        <f t="shared" si="50"/>
        <v>Jul</v>
      </c>
      <c r="G493" s="6" t="s">
        <v>34</v>
      </c>
      <c r="H493" s="5">
        <v>7245.04</v>
      </c>
      <c r="I493" s="5" t="str">
        <f>IF(fin_table[[#This Row],[Account Balance]]&lt;20000,"Active", "Not Active")</f>
        <v>Active</v>
      </c>
      <c r="J493" s="5">
        <v>7451.03</v>
      </c>
      <c r="K493" s="5" t="str">
        <f t="shared" si="51"/>
        <v>Low</v>
      </c>
      <c r="L493" s="6" t="s">
        <v>35</v>
      </c>
      <c r="M493">
        <v>52</v>
      </c>
      <c r="N493" s="6" t="str">
        <f t="shared" si="52"/>
        <v>Older Adults</v>
      </c>
      <c r="O493" s="6" t="s">
        <v>25</v>
      </c>
      <c r="P493" s="6" t="s">
        <v>36</v>
      </c>
      <c r="Q493" t="s">
        <v>709</v>
      </c>
      <c r="R493" s="6" t="s">
        <v>52</v>
      </c>
      <c r="S493" s="6" t="s">
        <v>62</v>
      </c>
      <c r="T493" s="14">
        <v>3.9899999999999998E-2</v>
      </c>
      <c r="U493">
        <v>3.99</v>
      </c>
      <c r="V493" t="str">
        <f>IF(fin_table[[#This Row],[Interest Rate(%)]]&gt;4,"high","low")</f>
        <v>low</v>
      </c>
      <c r="W493" s="5">
        <v>5443.73</v>
      </c>
      <c r="X493" s="5">
        <f>fin_table[[#This Row],[Interest Rate]]*fin_table[[#This Row],[Loan Amount]]</f>
        <v>217.20482699999997</v>
      </c>
      <c r="Y493">
        <v>24</v>
      </c>
      <c r="Z493" s="3">
        <v>483</v>
      </c>
      <c r="AA493" s="3" t="str">
        <f t="shared" si="53"/>
        <v>Poor</v>
      </c>
      <c r="AB493" s="3" cm="1">
        <f t="array" ref="AB493">_xlfn.IFS(fin_table[[#This Row],[Transaction Status]]="Failed", 1, fin_table[[#This Row],[Transaction Status]]="Completed",0,fin_table[[#This Row],[Transaction Status]]="Pending",2)</f>
        <v>2</v>
      </c>
      <c r="AC493" s="3" t="str">
        <f>IF(fin_table[[#This Row],[Loan Defaulters]]=1,"Default", "Good")</f>
        <v>Good</v>
      </c>
      <c r="AD493" s="3">
        <f t="shared" si="54"/>
        <v>1</v>
      </c>
      <c r="AE493" s="4">
        <v>13965.07</v>
      </c>
      <c r="AF493" s="4" t="str">
        <f>IF(fin_table[[#This Row],[Monthly Income]]&lt;3000, "Low Income", IF(fin_table[[#This Row],[Monthly Income]]&lt;=5000, "Middle Income", "High Income"))</f>
        <v>High Income</v>
      </c>
      <c r="AG493" t="s">
        <v>30</v>
      </c>
      <c r="AH493" t="s">
        <v>3636</v>
      </c>
      <c r="AI493" t="str">
        <f t="shared" si="55"/>
        <v>Low-Risk</v>
      </c>
    </row>
    <row r="494" spans="1:35" x14ac:dyDescent="0.35">
      <c r="A494" t="s">
        <v>1884</v>
      </c>
      <c r="B494" t="s">
        <v>1885</v>
      </c>
      <c r="C494" t="s">
        <v>1886</v>
      </c>
      <c r="D494" s="1">
        <v>44571</v>
      </c>
      <c r="E494" s="1" t="str">
        <f t="shared" si="49"/>
        <v>10</v>
      </c>
      <c r="F494" s="1" t="str">
        <f t="shared" si="50"/>
        <v>Jan</v>
      </c>
      <c r="G494" s="6" t="s">
        <v>71</v>
      </c>
      <c r="H494" s="5">
        <v>2788.32</v>
      </c>
      <c r="I494" s="5" t="str">
        <f>IF(fin_table[[#This Row],[Account Balance]]&lt;20000,"Active", "Not Active")</f>
        <v>Not Active</v>
      </c>
      <c r="J494" s="5">
        <v>42880.47</v>
      </c>
      <c r="K494" s="5" t="str">
        <f t="shared" si="51"/>
        <v>Medium</v>
      </c>
      <c r="L494" s="6" t="s">
        <v>35</v>
      </c>
      <c r="M494">
        <v>63</v>
      </c>
      <c r="N494" s="6" t="str">
        <f t="shared" si="52"/>
        <v>Seniors</v>
      </c>
      <c r="O494" s="6" t="s">
        <v>42</v>
      </c>
      <c r="P494" s="6" t="s">
        <v>36</v>
      </c>
      <c r="Q494" t="s">
        <v>966</v>
      </c>
      <c r="R494" s="6" t="s">
        <v>38</v>
      </c>
      <c r="S494" s="6" t="s">
        <v>44</v>
      </c>
      <c r="T494" s="14">
        <v>2.76E-2</v>
      </c>
      <c r="U494">
        <v>2.76</v>
      </c>
      <c r="V494" t="str">
        <f>IF(fin_table[[#This Row],[Interest Rate(%)]]&gt;4,"high","low")</f>
        <v>low</v>
      </c>
      <c r="W494" s="5">
        <v>35504.089999999997</v>
      </c>
      <c r="X494" s="5">
        <f>fin_table[[#This Row],[Interest Rate]]*fin_table[[#This Row],[Loan Amount]]</f>
        <v>979.91288399999985</v>
      </c>
      <c r="Y494">
        <v>13</v>
      </c>
      <c r="Z494" s="3">
        <v>526</v>
      </c>
      <c r="AA494" s="3" t="str">
        <f t="shared" si="53"/>
        <v>Poor</v>
      </c>
      <c r="AB494" s="3" cm="1">
        <f t="array" ref="AB494">_xlfn.IFS(fin_table[[#This Row],[Transaction Status]]="Failed", 1, fin_table[[#This Row],[Transaction Status]]="Completed",0,fin_table[[#This Row],[Transaction Status]]="Pending",2)</f>
        <v>0</v>
      </c>
      <c r="AC494" s="3" t="str">
        <f>IF(fin_table[[#This Row],[Loan Defaulters]]=1,"Default", "Good")</f>
        <v>Good</v>
      </c>
      <c r="AD494" s="3">
        <f t="shared" si="54"/>
        <v>1</v>
      </c>
      <c r="AE494" s="4">
        <v>13429.4</v>
      </c>
      <c r="AF494" s="4" t="str">
        <f>IF(fin_table[[#This Row],[Monthly Income]]&lt;3000, "Low Income", IF(fin_table[[#This Row],[Monthly Income]]&lt;=5000, "Middle Income", "High Income"))</f>
        <v>High Income</v>
      </c>
      <c r="AG494" t="s">
        <v>63</v>
      </c>
      <c r="AH494" t="s">
        <v>3636</v>
      </c>
      <c r="AI494" t="str">
        <f t="shared" si="55"/>
        <v>High-Risk</v>
      </c>
    </row>
    <row r="495" spans="1:35" x14ac:dyDescent="0.35">
      <c r="A495" t="s">
        <v>1887</v>
      </c>
      <c r="B495" t="s">
        <v>1888</v>
      </c>
      <c r="C495" t="s">
        <v>1889</v>
      </c>
      <c r="D495" s="1">
        <v>44606</v>
      </c>
      <c r="E495" s="1" t="str">
        <f t="shared" si="49"/>
        <v>14</v>
      </c>
      <c r="F495" s="1" t="str">
        <f t="shared" si="50"/>
        <v>Feb</v>
      </c>
      <c r="G495" s="6" t="s">
        <v>71</v>
      </c>
      <c r="H495" s="5">
        <v>4084.22</v>
      </c>
      <c r="I495" s="5" t="str">
        <f>IF(fin_table[[#This Row],[Account Balance]]&lt;20000,"Active", "Not Active")</f>
        <v>Active</v>
      </c>
      <c r="J495" s="5">
        <v>9099.81</v>
      </c>
      <c r="K495" s="5" t="str">
        <f t="shared" si="51"/>
        <v>Low</v>
      </c>
      <c r="L495" s="6" t="s">
        <v>125</v>
      </c>
      <c r="M495">
        <v>59</v>
      </c>
      <c r="N495" s="6" t="str">
        <f t="shared" si="52"/>
        <v>Older Adults</v>
      </c>
      <c r="O495" s="6" t="s">
        <v>42</v>
      </c>
      <c r="P495" s="6" t="s">
        <v>36</v>
      </c>
      <c r="Q495" t="s">
        <v>609</v>
      </c>
      <c r="R495" s="6" t="s">
        <v>28</v>
      </c>
      <c r="S495" s="6" t="s">
        <v>62</v>
      </c>
      <c r="T495" s="14">
        <v>3.9300000000000002E-2</v>
      </c>
      <c r="U495">
        <v>3.93</v>
      </c>
      <c r="V495" t="str">
        <f>IF(fin_table[[#This Row],[Interest Rate(%)]]&gt;4,"high","low")</f>
        <v>low</v>
      </c>
      <c r="W495" s="5">
        <v>26681.654999999999</v>
      </c>
      <c r="X495" s="5">
        <f>fin_table[[#This Row],[Interest Rate]]*fin_table[[#This Row],[Loan Amount]]</f>
        <v>1048.5890414999999</v>
      </c>
      <c r="Y495">
        <v>29</v>
      </c>
      <c r="Z495" s="3">
        <v>847</v>
      </c>
      <c r="AA495" s="3" t="str">
        <f t="shared" si="53"/>
        <v>Excellent</v>
      </c>
      <c r="AB495" s="3" cm="1">
        <f t="array" ref="AB495">_xlfn.IFS(fin_table[[#This Row],[Transaction Status]]="Failed", 1, fin_table[[#This Row],[Transaction Status]]="Completed",0,fin_table[[#This Row],[Transaction Status]]="Pending",2)</f>
        <v>2</v>
      </c>
      <c r="AC495" s="3" t="str">
        <f>IF(fin_table[[#This Row],[Loan Defaulters]]=1,"Default", "Good")</f>
        <v>Good</v>
      </c>
      <c r="AD495" s="3">
        <f t="shared" si="54"/>
        <v>5</v>
      </c>
      <c r="AE495" s="4">
        <v>7939.63</v>
      </c>
      <c r="AF495" s="4" t="str">
        <f>IF(fin_table[[#This Row],[Monthly Income]]&lt;3000, "Low Income", IF(fin_table[[#This Row],[Monthly Income]]&lt;=5000, "Middle Income", "High Income"))</f>
        <v>High Income</v>
      </c>
      <c r="AG495" t="s">
        <v>30</v>
      </c>
      <c r="AH495" t="s">
        <v>3635</v>
      </c>
      <c r="AI495" t="str">
        <f t="shared" si="55"/>
        <v>Low-Risk</v>
      </c>
    </row>
    <row r="496" spans="1:35" x14ac:dyDescent="0.35">
      <c r="A496" t="s">
        <v>1890</v>
      </c>
      <c r="B496" t="s">
        <v>1891</v>
      </c>
      <c r="C496" t="s">
        <v>1892</v>
      </c>
      <c r="D496" s="1">
        <v>44762</v>
      </c>
      <c r="E496" s="1" t="str">
        <f t="shared" si="49"/>
        <v>20</v>
      </c>
      <c r="F496" s="1" t="str">
        <f t="shared" si="50"/>
        <v>Jul</v>
      </c>
      <c r="G496" s="6" t="s">
        <v>34</v>
      </c>
      <c r="H496" s="5">
        <v>1117.21</v>
      </c>
      <c r="I496" s="5" t="str">
        <f>IF(fin_table[[#This Row],[Account Balance]]&lt;20000,"Active", "Not Active")</f>
        <v>Not Active</v>
      </c>
      <c r="J496" s="5">
        <v>42858.78</v>
      </c>
      <c r="K496" s="5" t="str">
        <f t="shared" si="51"/>
        <v>Medium</v>
      </c>
      <c r="L496" s="6" t="s">
        <v>49</v>
      </c>
      <c r="M496">
        <v>56</v>
      </c>
      <c r="N496" s="6" t="str">
        <f t="shared" si="52"/>
        <v>Older Adults</v>
      </c>
      <c r="O496" s="6" t="s">
        <v>42</v>
      </c>
      <c r="P496" s="6" t="s">
        <v>50</v>
      </c>
      <c r="Q496" t="s">
        <v>664</v>
      </c>
      <c r="R496" s="6" t="s">
        <v>52</v>
      </c>
      <c r="S496" s="6" t="s">
        <v>62</v>
      </c>
      <c r="T496" s="14">
        <v>3.5000000000000003E-2</v>
      </c>
      <c r="U496">
        <v>3.5000000000000003E-2</v>
      </c>
      <c r="V496" t="str">
        <f>IF(fin_table[[#This Row],[Interest Rate(%)]]&gt;4,"high","low")</f>
        <v>low</v>
      </c>
      <c r="W496" s="5">
        <v>26681.654999999999</v>
      </c>
      <c r="X496" s="5">
        <f>fin_table[[#This Row],[Interest Rate]]*fin_table[[#This Row],[Loan Amount]]</f>
        <v>933.85792500000002</v>
      </c>
      <c r="Y496">
        <v>2</v>
      </c>
      <c r="Z496" s="3">
        <v>545</v>
      </c>
      <c r="AA496" s="3" t="str">
        <f t="shared" si="53"/>
        <v>Poor</v>
      </c>
      <c r="AB496" s="3" cm="1">
        <f t="array" ref="AB496">_xlfn.IFS(fin_table[[#This Row],[Transaction Status]]="Failed", 1, fin_table[[#This Row],[Transaction Status]]="Completed",0,fin_table[[#This Row],[Transaction Status]]="Pending",2)</f>
        <v>2</v>
      </c>
      <c r="AC496" s="3" t="str">
        <f>IF(fin_table[[#This Row],[Loan Defaulters]]=1,"Default", "Good")</f>
        <v>Good</v>
      </c>
      <c r="AD496" s="3">
        <f t="shared" si="54"/>
        <v>1</v>
      </c>
      <c r="AE496" s="4">
        <v>7341.7</v>
      </c>
      <c r="AF496" s="4" t="str">
        <f>IF(fin_table[[#This Row],[Monthly Income]]&lt;3000, "Low Income", IF(fin_table[[#This Row],[Monthly Income]]&lt;=5000, "Middle Income", "High Income"))</f>
        <v>High Income</v>
      </c>
      <c r="AG496" t="s">
        <v>30</v>
      </c>
      <c r="AH496" t="s">
        <v>3635</v>
      </c>
      <c r="AI496" t="str">
        <f t="shared" si="55"/>
        <v>Low-Risk</v>
      </c>
    </row>
    <row r="497" spans="1:35" x14ac:dyDescent="0.35">
      <c r="A497" t="s">
        <v>1893</v>
      </c>
      <c r="B497" t="s">
        <v>1894</v>
      </c>
      <c r="C497" t="s">
        <v>1895</v>
      </c>
      <c r="D497" s="1">
        <v>45002</v>
      </c>
      <c r="E497" s="1" t="str">
        <f t="shared" si="49"/>
        <v>17</v>
      </c>
      <c r="F497" s="1" t="str">
        <f t="shared" si="50"/>
        <v>Mar</v>
      </c>
      <c r="G497" s="6" t="s">
        <v>71</v>
      </c>
      <c r="H497" s="5">
        <v>1971.49</v>
      </c>
      <c r="I497" s="5" t="str">
        <f>IF(fin_table[[#This Row],[Account Balance]]&lt;20000,"Active", "Not Active")</f>
        <v>Not Active</v>
      </c>
      <c r="J497" s="5">
        <v>25047.49</v>
      </c>
      <c r="K497" s="5" t="str">
        <f t="shared" si="51"/>
        <v>Medium</v>
      </c>
      <c r="L497" s="6" t="s">
        <v>125</v>
      </c>
      <c r="M497">
        <v>43</v>
      </c>
      <c r="N497" s="6" t="str">
        <f t="shared" si="52"/>
        <v>Middle-Aged</v>
      </c>
      <c r="O497" s="6" t="s">
        <v>25</v>
      </c>
      <c r="P497" s="6" t="s">
        <v>26</v>
      </c>
      <c r="Q497" t="s">
        <v>1896</v>
      </c>
      <c r="R497" s="6" t="s">
        <v>28</v>
      </c>
      <c r="S497" s="6" t="s">
        <v>29</v>
      </c>
      <c r="T497" s="14">
        <v>4.4200000000000003E-2</v>
      </c>
      <c r="U497">
        <v>4.42</v>
      </c>
      <c r="V497" t="str">
        <f>IF(fin_table[[#This Row],[Interest Rate(%)]]&gt;4,"high","low")</f>
        <v>high</v>
      </c>
      <c r="W497" s="5">
        <v>26681.654999999999</v>
      </c>
      <c r="X497" s="5">
        <f>fin_table[[#This Row],[Interest Rate]]*fin_table[[#This Row],[Loan Amount]]</f>
        <v>1179.3291510000001</v>
      </c>
      <c r="Y497">
        <v>21</v>
      </c>
      <c r="Z497" s="3">
        <v>372</v>
      </c>
      <c r="AA497" s="3" t="str">
        <f t="shared" si="53"/>
        <v>Poor</v>
      </c>
      <c r="AB497" s="3" cm="1">
        <f t="array" ref="AB497">_xlfn.IFS(fin_table[[#This Row],[Transaction Status]]="Failed", 1, fin_table[[#This Row],[Transaction Status]]="Completed",0,fin_table[[#This Row],[Transaction Status]]="Pending",2)</f>
        <v>1</v>
      </c>
      <c r="AC497" s="3" t="str">
        <f>IF(fin_table[[#This Row],[Loan Defaulters]]=1,"Default", "Good")</f>
        <v>Default</v>
      </c>
      <c r="AD497" s="3">
        <f t="shared" si="54"/>
        <v>1</v>
      </c>
      <c r="AE497" s="4">
        <v>9215.1200000000008</v>
      </c>
      <c r="AF497" s="4" t="str">
        <f>IF(fin_table[[#This Row],[Monthly Income]]&lt;3000, "Low Income", IF(fin_table[[#This Row],[Monthly Income]]&lt;=5000, "Middle Income", "High Income"))</f>
        <v>High Income</v>
      </c>
      <c r="AG497" t="s">
        <v>45</v>
      </c>
      <c r="AH497" t="s">
        <v>3635</v>
      </c>
      <c r="AI497" t="str">
        <f t="shared" si="55"/>
        <v>Low-Risk</v>
      </c>
    </row>
    <row r="498" spans="1:35" x14ac:dyDescent="0.35">
      <c r="A498" t="s">
        <v>1897</v>
      </c>
      <c r="B498" t="s">
        <v>1898</v>
      </c>
      <c r="C498" t="s">
        <v>1899</v>
      </c>
      <c r="D498" s="1">
        <v>45114</v>
      </c>
      <c r="E498" s="1" t="str">
        <f t="shared" si="49"/>
        <v>07</v>
      </c>
      <c r="F498" s="1" t="str">
        <f t="shared" si="50"/>
        <v>Jul</v>
      </c>
      <c r="G498" s="6" t="s">
        <v>34</v>
      </c>
      <c r="H498" s="5">
        <v>7851.86</v>
      </c>
      <c r="I498" s="5" t="str">
        <f>IF(fin_table[[#This Row],[Account Balance]]&lt;20000,"Active", "Not Active")</f>
        <v>Not Active</v>
      </c>
      <c r="J498" s="5">
        <v>20921.28</v>
      </c>
      <c r="K498" s="5" t="str">
        <f t="shared" si="51"/>
        <v>Medium</v>
      </c>
      <c r="L498" s="6" t="s">
        <v>35</v>
      </c>
      <c r="M498">
        <v>66</v>
      </c>
      <c r="N498" s="6" t="str">
        <f t="shared" si="52"/>
        <v>Seniors</v>
      </c>
      <c r="O498" s="6" t="s">
        <v>42</v>
      </c>
      <c r="P498" s="6" t="s">
        <v>50</v>
      </c>
      <c r="Q498" t="s">
        <v>1900</v>
      </c>
      <c r="R498" s="6" t="s">
        <v>52</v>
      </c>
      <c r="S498" s="6" t="s">
        <v>44</v>
      </c>
      <c r="T498" s="14">
        <v>4.2099999999999999E-2</v>
      </c>
      <c r="U498">
        <v>4.21</v>
      </c>
      <c r="V498" t="str">
        <f>IF(fin_table[[#This Row],[Interest Rate(%)]]&gt;4,"high","low")</f>
        <v>high</v>
      </c>
      <c r="W498" s="5">
        <v>26681.654999999999</v>
      </c>
      <c r="X498" s="5">
        <f>fin_table[[#This Row],[Interest Rate]]*fin_table[[#This Row],[Loan Amount]]</f>
        <v>1123.2976755</v>
      </c>
      <c r="Y498">
        <v>13</v>
      </c>
      <c r="Z498" s="3">
        <v>449</v>
      </c>
      <c r="AA498" s="3" t="str">
        <f t="shared" si="53"/>
        <v>Poor</v>
      </c>
      <c r="AB498" s="3" cm="1">
        <f t="array" ref="AB498">_xlfn.IFS(fin_table[[#This Row],[Transaction Status]]="Failed", 1, fin_table[[#This Row],[Transaction Status]]="Completed",0,fin_table[[#This Row],[Transaction Status]]="Pending",2)</f>
        <v>0</v>
      </c>
      <c r="AC498" s="3" t="str">
        <f>IF(fin_table[[#This Row],[Loan Defaulters]]=1,"Default", "Good")</f>
        <v>Good</v>
      </c>
      <c r="AD498" s="3">
        <f t="shared" si="54"/>
        <v>1</v>
      </c>
      <c r="AE498" s="4">
        <v>5164.8999999999996</v>
      </c>
      <c r="AF498" s="4" t="str">
        <f>IF(fin_table[[#This Row],[Monthly Income]]&lt;3000, "Low Income", IF(fin_table[[#This Row],[Monthly Income]]&lt;=5000, "Middle Income", "High Income"))</f>
        <v>High Income</v>
      </c>
      <c r="AG498" t="s">
        <v>45</v>
      </c>
      <c r="AH498" t="s">
        <v>3635</v>
      </c>
      <c r="AI498" t="str">
        <f t="shared" si="55"/>
        <v>Low-Risk</v>
      </c>
    </row>
    <row r="499" spans="1:35" x14ac:dyDescent="0.35">
      <c r="A499" t="s">
        <v>1901</v>
      </c>
      <c r="B499" t="s">
        <v>1902</v>
      </c>
      <c r="C499" t="s">
        <v>1903</v>
      </c>
      <c r="D499" s="1">
        <v>45076</v>
      </c>
      <c r="E499" s="1" t="str">
        <f t="shared" si="49"/>
        <v>30</v>
      </c>
      <c r="F499" s="1" t="str">
        <f t="shared" si="50"/>
        <v>May</v>
      </c>
      <c r="G499" s="6" t="s">
        <v>23</v>
      </c>
      <c r="H499" s="5">
        <v>7178.88</v>
      </c>
      <c r="I499" s="5" t="str">
        <f>IF(fin_table[[#This Row],[Account Balance]]&lt;20000,"Active", "Not Active")</f>
        <v>Not Active</v>
      </c>
      <c r="J499" s="5">
        <v>45256.35</v>
      </c>
      <c r="K499" s="5" t="str">
        <f t="shared" si="51"/>
        <v>Medium</v>
      </c>
      <c r="L499" s="6" t="s">
        <v>125</v>
      </c>
      <c r="M499">
        <v>55</v>
      </c>
      <c r="N499" s="6" t="str">
        <f t="shared" si="52"/>
        <v>Older Adults</v>
      </c>
      <c r="O499" s="6" t="s">
        <v>42</v>
      </c>
      <c r="P499" s="6" t="s">
        <v>50</v>
      </c>
      <c r="Q499" t="s">
        <v>1904</v>
      </c>
      <c r="R499" s="6" t="s">
        <v>38</v>
      </c>
      <c r="S499" s="6" t="s">
        <v>29</v>
      </c>
      <c r="T499" s="14">
        <v>1.17E-2</v>
      </c>
      <c r="U499">
        <v>1.17</v>
      </c>
      <c r="V499" t="str">
        <f>IF(fin_table[[#This Row],[Interest Rate(%)]]&gt;4,"high","low")</f>
        <v>low</v>
      </c>
      <c r="W499" s="5">
        <v>44502.45</v>
      </c>
      <c r="X499" s="5">
        <f>fin_table[[#This Row],[Interest Rate]]*fin_table[[#This Row],[Loan Amount]]</f>
        <v>520.67866500000002</v>
      </c>
      <c r="Y499">
        <v>13</v>
      </c>
      <c r="Z499" s="3">
        <v>812</v>
      </c>
      <c r="AA499" s="3" t="str">
        <f t="shared" si="53"/>
        <v>Excellent</v>
      </c>
      <c r="AB499" s="3" cm="1">
        <f t="array" ref="AB499">_xlfn.IFS(fin_table[[#This Row],[Transaction Status]]="Failed", 1, fin_table[[#This Row],[Transaction Status]]="Completed",0,fin_table[[#This Row],[Transaction Status]]="Pending",2)</f>
        <v>1</v>
      </c>
      <c r="AC499" s="3" t="str">
        <f>IF(fin_table[[#This Row],[Loan Defaulters]]=1,"Default", "Good")</f>
        <v>Default</v>
      </c>
      <c r="AD499" s="3">
        <f t="shared" si="54"/>
        <v>5</v>
      </c>
      <c r="AE499" s="4">
        <v>2678.4</v>
      </c>
      <c r="AF499" s="4" t="str">
        <f>IF(fin_table[[#This Row],[Monthly Income]]&lt;3000, "Low Income", IF(fin_table[[#This Row],[Monthly Income]]&lt;=5000, "Middle Income", "High Income"))</f>
        <v>Low Income</v>
      </c>
      <c r="AG499" t="s">
        <v>45</v>
      </c>
      <c r="AH499" t="s">
        <v>3636</v>
      </c>
      <c r="AI499" t="str">
        <f t="shared" si="55"/>
        <v>Low-Risk</v>
      </c>
    </row>
    <row r="500" spans="1:35" x14ac:dyDescent="0.35">
      <c r="A500" t="s">
        <v>1905</v>
      </c>
      <c r="B500" t="s">
        <v>1906</v>
      </c>
      <c r="C500" t="s">
        <v>1907</v>
      </c>
      <c r="D500" s="1">
        <v>45061</v>
      </c>
      <c r="E500" s="1" t="str">
        <f t="shared" si="49"/>
        <v>15</v>
      </c>
      <c r="F500" s="1" t="str">
        <f t="shared" si="50"/>
        <v>May</v>
      </c>
      <c r="G500" s="6" t="s">
        <v>34</v>
      </c>
      <c r="H500" s="5">
        <v>5975.51</v>
      </c>
      <c r="I500" s="5" t="str">
        <f>IF(fin_table[[#This Row],[Account Balance]]&lt;20000,"Active", "Not Active")</f>
        <v>Not Active</v>
      </c>
      <c r="J500" s="5">
        <v>30588.7</v>
      </c>
      <c r="K500" s="5" t="str">
        <f t="shared" si="51"/>
        <v>Medium</v>
      </c>
      <c r="L500" s="6" t="s">
        <v>100</v>
      </c>
      <c r="M500">
        <v>40</v>
      </c>
      <c r="N500" s="6" t="str">
        <f t="shared" si="52"/>
        <v>Middle-Aged</v>
      </c>
      <c r="O500" s="6" t="s">
        <v>42</v>
      </c>
      <c r="P500" s="6" t="s">
        <v>36</v>
      </c>
      <c r="Q500" t="s">
        <v>493</v>
      </c>
      <c r="R500" s="6" t="s">
        <v>28</v>
      </c>
      <c r="S500" s="6" t="s">
        <v>44</v>
      </c>
      <c r="T500" s="14">
        <v>2.52E-2</v>
      </c>
      <c r="U500">
        <v>2.52</v>
      </c>
      <c r="V500" t="str">
        <f>IF(fin_table[[#This Row],[Interest Rate(%)]]&gt;4,"high","low")</f>
        <v>low</v>
      </c>
      <c r="W500" s="5">
        <v>26684.3</v>
      </c>
      <c r="X500" s="5">
        <f>fin_table[[#This Row],[Interest Rate]]*fin_table[[#This Row],[Loan Amount]]</f>
        <v>672.44435999999996</v>
      </c>
      <c r="Y500">
        <v>13</v>
      </c>
      <c r="Z500" s="3">
        <v>368</v>
      </c>
      <c r="AA500" s="3" t="str">
        <f t="shared" si="53"/>
        <v>Poor</v>
      </c>
      <c r="AB500" s="3" cm="1">
        <f t="array" ref="AB500">_xlfn.IFS(fin_table[[#This Row],[Transaction Status]]="Failed", 1, fin_table[[#This Row],[Transaction Status]]="Completed",0,fin_table[[#This Row],[Transaction Status]]="Pending",2)</f>
        <v>0</v>
      </c>
      <c r="AC500" s="3" t="str">
        <f>IF(fin_table[[#This Row],[Loan Defaulters]]=1,"Default", "Good")</f>
        <v>Good</v>
      </c>
      <c r="AD500" s="3">
        <f t="shared" si="54"/>
        <v>1</v>
      </c>
      <c r="AE500" s="4">
        <v>14209.91</v>
      </c>
      <c r="AF500" s="4" t="str">
        <f>IF(fin_table[[#This Row],[Monthly Income]]&lt;3000, "Low Income", IF(fin_table[[#This Row],[Monthly Income]]&lt;=5000, "Middle Income", "High Income"))</f>
        <v>High Income</v>
      </c>
      <c r="AG500" t="s">
        <v>30</v>
      </c>
      <c r="AH500" t="s">
        <v>3636</v>
      </c>
      <c r="AI500" t="str">
        <f t="shared" si="55"/>
        <v>Low-Risk</v>
      </c>
    </row>
    <row r="501" spans="1:35" x14ac:dyDescent="0.35">
      <c r="A501" t="s">
        <v>1908</v>
      </c>
      <c r="B501" t="s">
        <v>1909</v>
      </c>
      <c r="C501" t="s">
        <v>1910</v>
      </c>
      <c r="D501" s="1">
        <v>44977</v>
      </c>
      <c r="E501" s="1" t="str">
        <f t="shared" si="49"/>
        <v>20</v>
      </c>
      <c r="F501" s="1" t="str">
        <f t="shared" si="50"/>
        <v>Feb</v>
      </c>
      <c r="G501" s="6" t="s">
        <v>23</v>
      </c>
      <c r="H501" s="5">
        <v>8967.69</v>
      </c>
      <c r="I501" s="5" t="str">
        <f>IF(fin_table[[#This Row],[Account Balance]]&lt;20000,"Active", "Not Active")</f>
        <v>Not Active</v>
      </c>
      <c r="J501" s="5">
        <v>29254.09</v>
      </c>
      <c r="K501" s="5" t="str">
        <f t="shared" si="51"/>
        <v>Medium</v>
      </c>
      <c r="L501" s="6" t="s">
        <v>125</v>
      </c>
      <c r="M501">
        <v>39</v>
      </c>
      <c r="N501" s="6" t="str">
        <f t="shared" si="52"/>
        <v>Middle-Aged</v>
      </c>
      <c r="O501" s="6" t="s">
        <v>25</v>
      </c>
      <c r="P501" s="6" t="s">
        <v>26</v>
      </c>
      <c r="Q501" t="s">
        <v>1911</v>
      </c>
      <c r="R501" s="6" t="s">
        <v>52</v>
      </c>
      <c r="S501" s="6" t="s">
        <v>44</v>
      </c>
      <c r="T501" s="14">
        <v>1.14E-2</v>
      </c>
      <c r="U501">
        <v>1.1399999999999999</v>
      </c>
      <c r="V501" t="str">
        <f>IF(fin_table[[#This Row],[Interest Rate(%)]]&gt;4,"high","low")</f>
        <v>low</v>
      </c>
      <c r="W501" s="5">
        <v>26681.654999999999</v>
      </c>
      <c r="X501" s="5">
        <f>fin_table[[#This Row],[Interest Rate]]*fin_table[[#This Row],[Loan Amount]]</f>
        <v>304.17086699999999</v>
      </c>
      <c r="Y501">
        <v>13</v>
      </c>
      <c r="Z501" s="3">
        <v>529</v>
      </c>
      <c r="AA501" s="3" t="str">
        <f t="shared" si="53"/>
        <v>Poor</v>
      </c>
      <c r="AB501" s="3" cm="1">
        <f t="array" ref="AB501">_xlfn.IFS(fin_table[[#This Row],[Transaction Status]]="Failed", 1, fin_table[[#This Row],[Transaction Status]]="Completed",0,fin_table[[#This Row],[Transaction Status]]="Pending",2)</f>
        <v>0</v>
      </c>
      <c r="AC501" s="3" t="str">
        <f>IF(fin_table[[#This Row],[Loan Defaulters]]=1,"Default", "Good")</f>
        <v>Good</v>
      </c>
      <c r="AD501" s="3">
        <f t="shared" si="54"/>
        <v>1</v>
      </c>
      <c r="AE501" s="4">
        <v>4427.09</v>
      </c>
      <c r="AF501" s="4" t="str">
        <f>IF(fin_table[[#This Row],[Monthly Income]]&lt;3000, "Low Income", IF(fin_table[[#This Row],[Monthly Income]]&lt;=5000, "Middle Income", "High Income"))</f>
        <v>Middle Income</v>
      </c>
      <c r="AG501" t="s">
        <v>30</v>
      </c>
      <c r="AH501" t="s">
        <v>3635</v>
      </c>
      <c r="AI501" t="str">
        <f t="shared" si="55"/>
        <v>Low-Risk</v>
      </c>
    </row>
    <row r="502" spans="1:35" x14ac:dyDescent="0.35">
      <c r="A502" t="s">
        <v>1912</v>
      </c>
      <c r="B502" t="s">
        <v>1913</v>
      </c>
      <c r="C502" t="s">
        <v>1914</v>
      </c>
      <c r="D502" s="1">
        <v>44761</v>
      </c>
      <c r="E502" s="1" t="str">
        <f t="shared" si="49"/>
        <v>19</v>
      </c>
      <c r="F502" s="1" t="str">
        <f t="shared" si="50"/>
        <v>Jul</v>
      </c>
      <c r="G502" s="6" t="s">
        <v>34</v>
      </c>
      <c r="H502" s="5">
        <v>5874.34</v>
      </c>
      <c r="I502" s="5" t="str">
        <f>IF(fin_table[[#This Row],[Account Balance]]&lt;20000,"Active", "Not Active")</f>
        <v>Not Active</v>
      </c>
      <c r="J502" s="5">
        <v>28379.53</v>
      </c>
      <c r="K502" s="5" t="str">
        <f t="shared" si="51"/>
        <v>Medium</v>
      </c>
      <c r="L502" s="6" t="s">
        <v>49</v>
      </c>
      <c r="M502">
        <v>21</v>
      </c>
      <c r="N502" s="6" t="str">
        <f t="shared" si="52"/>
        <v>Young Adults</v>
      </c>
      <c r="O502" s="6" t="s">
        <v>25</v>
      </c>
      <c r="P502" s="6" t="s">
        <v>36</v>
      </c>
      <c r="Q502" t="s">
        <v>1742</v>
      </c>
      <c r="R502" s="6" t="s">
        <v>38</v>
      </c>
      <c r="S502" s="6" t="s">
        <v>44</v>
      </c>
      <c r="T502" s="14">
        <v>1.41E-2</v>
      </c>
      <c r="U502">
        <v>1.41</v>
      </c>
      <c r="V502" t="str">
        <f>IF(fin_table[[#This Row],[Interest Rate(%)]]&gt;4,"high","low")</f>
        <v>low</v>
      </c>
      <c r="W502" s="5">
        <v>26681.654999999999</v>
      </c>
      <c r="X502" s="5">
        <f>fin_table[[#This Row],[Interest Rate]]*fin_table[[#This Row],[Loan Amount]]</f>
        <v>376.21133549999996</v>
      </c>
      <c r="Y502">
        <v>13</v>
      </c>
      <c r="Z502" s="3">
        <v>371</v>
      </c>
      <c r="AA502" s="3" t="str">
        <f t="shared" si="53"/>
        <v>Poor</v>
      </c>
      <c r="AB502" s="3" cm="1">
        <f t="array" ref="AB502">_xlfn.IFS(fin_table[[#This Row],[Transaction Status]]="Failed", 1, fin_table[[#This Row],[Transaction Status]]="Completed",0,fin_table[[#This Row],[Transaction Status]]="Pending",2)</f>
        <v>0</v>
      </c>
      <c r="AC502" s="3" t="str">
        <f>IF(fin_table[[#This Row],[Loan Defaulters]]=1,"Default", "Good")</f>
        <v>Good</v>
      </c>
      <c r="AD502" s="3">
        <f t="shared" si="54"/>
        <v>1</v>
      </c>
      <c r="AE502" s="4">
        <v>4579.21</v>
      </c>
      <c r="AF502" s="4" t="str">
        <f>IF(fin_table[[#This Row],[Monthly Income]]&lt;3000, "Low Income", IF(fin_table[[#This Row],[Monthly Income]]&lt;=5000, "Middle Income", "High Income"))</f>
        <v>Middle Income</v>
      </c>
      <c r="AG502" t="s">
        <v>63</v>
      </c>
      <c r="AH502" t="s">
        <v>3635</v>
      </c>
      <c r="AI502" t="str">
        <f t="shared" si="55"/>
        <v>Low-Risk</v>
      </c>
    </row>
    <row r="503" spans="1:35" x14ac:dyDescent="0.35">
      <c r="A503" t="s">
        <v>1915</v>
      </c>
      <c r="B503" t="s">
        <v>1916</v>
      </c>
      <c r="C503" t="s">
        <v>1917</v>
      </c>
      <c r="D503" s="1">
        <v>44616</v>
      </c>
      <c r="E503" s="1" t="str">
        <f t="shared" si="49"/>
        <v>24</v>
      </c>
      <c r="F503" s="1" t="str">
        <f t="shared" si="50"/>
        <v>Feb</v>
      </c>
      <c r="G503" s="6" t="s">
        <v>56</v>
      </c>
      <c r="H503" s="5">
        <v>4722.9799999999996</v>
      </c>
      <c r="I503" s="5" t="str">
        <f>IF(fin_table[[#This Row],[Account Balance]]&lt;20000,"Active", "Not Active")</f>
        <v>Active</v>
      </c>
      <c r="J503" s="5">
        <v>19187.310000000001</v>
      </c>
      <c r="K503" s="5" t="str">
        <f t="shared" si="51"/>
        <v>Medium</v>
      </c>
      <c r="L503" s="6" t="s">
        <v>100</v>
      </c>
      <c r="M503">
        <v>66</v>
      </c>
      <c r="N503" s="6" t="str">
        <f t="shared" si="52"/>
        <v>Seniors</v>
      </c>
      <c r="O503" s="6" t="s">
        <v>42</v>
      </c>
      <c r="P503" s="6" t="s">
        <v>50</v>
      </c>
      <c r="Q503" t="s">
        <v>296</v>
      </c>
      <c r="R503" s="6" t="s">
        <v>28</v>
      </c>
      <c r="S503" s="6" t="s">
        <v>29</v>
      </c>
      <c r="T503" s="14">
        <v>3.4099999999999998E-2</v>
      </c>
      <c r="U503">
        <v>3.41</v>
      </c>
      <c r="V503" t="str">
        <f>IF(fin_table[[#This Row],[Interest Rate(%)]]&gt;4,"high","low")</f>
        <v>low</v>
      </c>
      <c r="W503" s="5">
        <v>26681.654999999999</v>
      </c>
      <c r="X503" s="5">
        <f>fin_table[[#This Row],[Interest Rate]]*fin_table[[#This Row],[Loan Amount]]</f>
        <v>909.84443549999992</v>
      </c>
      <c r="Y503">
        <v>13</v>
      </c>
      <c r="Z503" s="3">
        <v>696</v>
      </c>
      <c r="AA503" s="3" t="str">
        <f t="shared" si="53"/>
        <v>Good</v>
      </c>
      <c r="AB503" s="3" cm="1">
        <f t="array" ref="AB503">_xlfn.IFS(fin_table[[#This Row],[Transaction Status]]="Failed", 1, fin_table[[#This Row],[Transaction Status]]="Completed",0,fin_table[[#This Row],[Transaction Status]]="Pending",2)</f>
        <v>1</v>
      </c>
      <c r="AC503" s="3" t="str">
        <f>IF(fin_table[[#This Row],[Loan Defaulters]]=1,"Default", "Good")</f>
        <v>Default</v>
      </c>
      <c r="AD503" s="3">
        <f t="shared" si="54"/>
        <v>3</v>
      </c>
      <c r="AE503" s="4">
        <v>8141.98</v>
      </c>
      <c r="AF503" s="4" t="str">
        <f>IF(fin_table[[#This Row],[Monthly Income]]&lt;3000, "Low Income", IF(fin_table[[#This Row],[Monthly Income]]&lt;=5000, "Middle Income", "High Income"))</f>
        <v>High Income</v>
      </c>
      <c r="AG503" t="s">
        <v>30</v>
      </c>
      <c r="AH503" t="s">
        <v>3635</v>
      </c>
      <c r="AI503" t="str">
        <f t="shared" si="55"/>
        <v>Low-Risk</v>
      </c>
    </row>
    <row r="504" spans="1:35" x14ac:dyDescent="0.35">
      <c r="A504" t="s">
        <v>1918</v>
      </c>
      <c r="B504" t="s">
        <v>1919</v>
      </c>
      <c r="C504" t="s">
        <v>1920</v>
      </c>
      <c r="D504" s="1">
        <v>44700</v>
      </c>
      <c r="E504" s="1" t="str">
        <f t="shared" si="49"/>
        <v>19</v>
      </c>
      <c r="F504" s="1" t="str">
        <f t="shared" si="50"/>
        <v>May</v>
      </c>
      <c r="G504" s="6" t="s">
        <v>56</v>
      </c>
      <c r="H504" s="5">
        <v>3469.67</v>
      </c>
      <c r="I504" s="5" t="str">
        <f>IF(fin_table[[#This Row],[Account Balance]]&lt;20000,"Active", "Not Active")</f>
        <v>Not Active</v>
      </c>
      <c r="J504" s="5">
        <v>39496.51</v>
      </c>
      <c r="K504" s="5" t="str">
        <f t="shared" si="51"/>
        <v>Medium</v>
      </c>
      <c r="L504" s="6" t="s">
        <v>24</v>
      </c>
      <c r="M504">
        <v>26</v>
      </c>
      <c r="N504" s="6" t="str">
        <f t="shared" si="52"/>
        <v>Adults</v>
      </c>
      <c r="O504" s="6" t="s">
        <v>25</v>
      </c>
      <c r="P504" s="6" t="s">
        <v>50</v>
      </c>
      <c r="Q504" t="s">
        <v>1921</v>
      </c>
      <c r="R504" s="6" t="s">
        <v>52</v>
      </c>
      <c r="S504" s="6" t="s">
        <v>29</v>
      </c>
      <c r="T504" s="14">
        <v>4.4999999999999998E-2</v>
      </c>
      <c r="U504">
        <v>4.4999999999999998E-2</v>
      </c>
      <c r="V504" t="str">
        <f>IF(fin_table[[#This Row],[Interest Rate(%)]]&gt;4,"high","low")</f>
        <v>low</v>
      </c>
      <c r="W504" s="5">
        <v>26681.654999999999</v>
      </c>
      <c r="X504" s="5">
        <f>fin_table[[#This Row],[Interest Rate]]*fin_table[[#This Row],[Loan Amount]]</f>
        <v>1200.6744749999998</v>
      </c>
      <c r="Y504">
        <v>13</v>
      </c>
      <c r="Z504" s="3">
        <v>383</v>
      </c>
      <c r="AA504" s="3" t="str">
        <f t="shared" si="53"/>
        <v>Poor</v>
      </c>
      <c r="AB504" s="3" cm="1">
        <f t="array" ref="AB504">_xlfn.IFS(fin_table[[#This Row],[Transaction Status]]="Failed", 1, fin_table[[#This Row],[Transaction Status]]="Completed",0,fin_table[[#This Row],[Transaction Status]]="Pending",2)</f>
        <v>1</v>
      </c>
      <c r="AC504" s="3" t="str">
        <f>IF(fin_table[[#This Row],[Loan Defaulters]]=1,"Default", "Good")</f>
        <v>Default</v>
      </c>
      <c r="AD504" s="3">
        <f t="shared" si="54"/>
        <v>1</v>
      </c>
      <c r="AE504" s="4">
        <v>8390.9699999999993</v>
      </c>
      <c r="AF504" s="4" t="str">
        <f>IF(fin_table[[#This Row],[Monthly Income]]&lt;3000, "Low Income", IF(fin_table[[#This Row],[Monthly Income]]&lt;=5000, "Middle Income", "High Income"))</f>
        <v>High Income</v>
      </c>
      <c r="AG504" t="s">
        <v>45</v>
      </c>
      <c r="AH504" t="s">
        <v>3635</v>
      </c>
      <c r="AI504" t="str">
        <f t="shared" si="55"/>
        <v>Low-Risk</v>
      </c>
    </row>
    <row r="505" spans="1:35" x14ac:dyDescent="0.35">
      <c r="A505" t="s">
        <v>1922</v>
      </c>
      <c r="B505" t="s">
        <v>1923</v>
      </c>
      <c r="C505" t="s">
        <v>1924</v>
      </c>
      <c r="D505" s="1">
        <v>44943</v>
      </c>
      <c r="E505" s="1" t="str">
        <f t="shared" si="49"/>
        <v>17</v>
      </c>
      <c r="F505" s="1" t="str">
        <f t="shared" si="50"/>
        <v>Jan</v>
      </c>
      <c r="G505" s="6" t="s">
        <v>23</v>
      </c>
      <c r="H505" s="5">
        <v>9410.44</v>
      </c>
      <c r="I505" s="5" t="str">
        <f>IF(fin_table[[#This Row],[Account Balance]]&lt;20000,"Active", "Not Active")</f>
        <v>Active</v>
      </c>
      <c r="J505" s="5">
        <v>13387.12</v>
      </c>
      <c r="K505" s="5" t="str">
        <f t="shared" si="51"/>
        <v>Medium</v>
      </c>
      <c r="L505" s="6" t="s">
        <v>35</v>
      </c>
      <c r="M505">
        <v>21</v>
      </c>
      <c r="N505" s="6" t="str">
        <f t="shared" si="52"/>
        <v>Young Adults</v>
      </c>
      <c r="O505" s="6" t="s">
        <v>42</v>
      </c>
      <c r="P505" s="6" t="s">
        <v>36</v>
      </c>
      <c r="Q505" t="s">
        <v>601</v>
      </c>
      <c r="R505" s="6" t="s">
        <v>28</v>
      </c>
      <c r="S505" s="6" t="s">
        <v>29</v>
      </c>
      <c r="T505" s="14">
        <v>1.4800000000000001E-2</v>
      </c>
      <c r="U505">
        <v>1.48</v>
      </c>
      <c r="V505" t="str">
        <f>IF(fin_table[[#This Row],[Interest Rate(%)]]&gt;4,"high","low")</f>
        <v>low</v>
      </c>
      <c r="W505" s="5">
        <v>5804.31</v>
      </c>
      <c r="X505" s="5">
        <f>fin_table[[#This Row],[Interest Rate]]*fin_table[[#This Row],[Loan Amount]]</f>
        <v>85.903788000000006</v>
      </c>
      <c r="Y505">
        <v>13</v>
      </c>
      <c r="Z505" s="3">
        <v>598</v>
      </c>
      <c r="AA505" s="3" t="str">
        <f t="shared" si="53"/>
        <v>Fair</v>
      </c>
      <c r="AB505" s="3" cm="1">
        <f t="array" ref="AB505">_xlfn.IFS(fin_table[[#This Row],[Transaction Status]]="Failed", 1, fin_table[[#This Row],[Transaction Status]]="Completed",0,fin_table[[#This Row],[Transaction Status]]="Pending",2)</f>
        <v>1</v>
      </c>
      <c r="AC505" s="3" t="str">
        <f>IF(fin_table[[#This Row],[Loan Defaulters]]=1,"Default", "Good")</f>
        <v>Default</v>
      </c>
      <c r="AD505" s="3">
        <f t="shared" si="54"/>
        <v>2</v>
      </c>
      <c r="AE505" s="4">
        <v>2239.64</v>
      </c>
      <c r="AF505" s="4" t="str">
        <f>IF(fin_table[[#This Row],[Monthly Income]]&lt;3000, "Low Income", IF(fin_table[[#This Row],[Monthly Income]]&lt;=5000, "Middle Income", "High Income"))</f>
        <v>Low Income</v>
      </c>
      <c r="AG505" t="s">
        <v>45</v>
      </c>
      <c r="AH505" t="s">
        <v>3636</v>
      </c>
      <c r="AI505" t="str">
        <f t="shared" si="55"/>
        <v>Low-Risk</v>
      </c>
    </row>
    <row r="506" spans="1:35" x14ac:dyDescent="0.35">
      <c r="A506" t="s">
        <v>1925</v>
      </c>
      <c r="B506" t="s">
        <v>1926</v>
      </c>
      <c r="C506" t="s">
        <v>1927</v>
      </c>
      <c r="D506" s="1">
        <v>44878</v>
      </c>
      <c r="E506" s="1" t="str">
        <f t="shared" si="49"/>
        <v>13</v>
      </c>
      <c r="F506" s="1" t="str">
        <f t="shared" si="50"/>
        <v>Nov</v>
      </c>
      <c r="G506" s="6" t="s">
        <v>23</v>
      </c>
      <c r="H506" s="5">
        <v>918.88</v>
      </c>
      <c r="I506" s="5" t="str">
        <f>IF(fin_table[[#This Row],[Account Balance]]&lt;20000,"Active", "Not Active")</f>
        <v>Not Active</v>
      </c>
      <c r="J506" s="5">
        <v>47005.85</v>
      </c>
      <c r="K506" s="5" t="str">
        <f t="shared" si="51"/>
        <v>Medium</v>
      </c>
      <c r="L506" s="6" t="s">
        <v>35</v>
      </c>
      <c r="M506">
        <v>24</v>
      </c>
      <c r="N506" s="6" t="str">
        <f t="shared" si="52"/>
        <v>Young Adults</v>
      </c>
      <c r="O506" s="6" t="s">
        <v>25</v>
      </c>
      <c r="P506" s="6" t="s">
        <v>50</v>
      </c>
      <c r="Q506" t="s">
        <v>355</v>
      </c>
      <c r="R506" s="6" t="s">
        <v>52</v>
      </c>
      <c r="S506" s="6" t="s">
        <v>29</v>
      </c>
      <c r="T506" s="14">
        <v>2.8000000000000001E-2</v>
      </c>
      <c r="U506">
        <v>2.8000000000000001E-2</v>
      </c>
      <c r="V506" t="str">
        <f>IF(fin_table[[#This Row],[Interest Rate(%)]]&gt;4,"high","low")</f>
        <v>low</v>
      </c>
      <c r="W506" s="5">
        <v>20062.52</v>
      </c>
      <c r="X506" s="5">
        <f>fin_table[[#This Row],[Interest Rate]]*fin_table[[#This Row],[Loan Amount]]</f>
        <v>561.75056000000006</v>
      </c>
      <c r="Y506">
        <v>12</v>
      </c>
      <c r="Z506" s="3">
        <v>592</v>
      </c>
      <c r="AA506" s="3" t="str">
        <f t="shared" si="53"/>
        <v>Fair</v>
      </c>
      <c r="AB506" s="3" cm="1">
        <f t="array" ref="AB506">_xlfn.IFS(fin_table[[#This Row],[Transaction Status]]="Failed", 1, fin_table[[#This Row],[Transaction Status]]="Completed",0,fin_table[[#This Row],[Transaction Status]]="Pending",2)</f>
        <v>1</v>
      </c>
      <c r="AC506" s="3" t="str">
        <f>IF(fin_table[[#This Row],[Loan Defaulters]]=1,"Default", "Good")</f>
        <v>Default</v>
      </c>
      <c r="AD506" s="3">
        <f t="shared" si="54"/>
        <v>2</v>
      </c>
      <c r="AE506" s="4">
        <v>3923.41</v>
      </c>
      <c r="AF506" s="4" t="str">
        <f>IF(fin_table[[#This Row],[Monthly Income]]&lt;3000, "Low Income", IF(fin_table[[#This Row],[Monthly Income]]&lt;=5000, "Middle Income", "High Income"))</f>
        <v>Middle Income</v>
      </c>
      <c r="AG506" t="s">
        <v>45</v>
      </c>
      <c r="AH506" t="s">
        <v>3636</v>
      </c>
      <c r="AI506" t="str">
        <f t="shared" si="55"/>
        <v>Low-Risk</v>
      </c>
    </row>
    <row r="507" spans="1:35" x14ac:dyDescent="0.35">
      <c r="A507" t="s">
        <v>1928</v>
      </c>
      <c r="B507" t="s">
        <v>1929</v>
      </c>
      <c r="C507" t="s">
        <v>1930</v>
      </c>
      <c r="D507" s="1">
        <v>44962</v>
      </c>
      <c r="E507" s="1" t="str">
        <f t="shared" si="49"/>
        <v>05</v>
      </c>
      <c r="F507" s="1" t="str">
        <f t="shared" si="50"/>
        <v>Feb</v>
      </c>
      <c r="G507" s="6" t="s">
        <v>56</v>
      </c>
      <c r="H507" s="5">
        <v>9315.7800000000007</v>
      </c>
      <c r="I507" s="5" t="str">
        <f>IF(fin_table[[#This Row],[Account Balance]]&lt;20000,"Active", "Not Active")</f>
        <v>Not Active</v>
      </c>
      <c r="J507" s="5">
        <v>44805.279999999999</v>
      </c>
      <c r="K507" s="5" t="str">
        <f t="shared" si="51"/>
        <v>Medium</v>
      </c>
      <c r="L507" s="6" t="s">
        <v>125</v>
      </c>
      <c r="M507">
        <v>40</v>
      </c>
      <c r="N507" s="6" t="str">
        <f t="shared" si="52"/>
        <v>Middle-Aged</v>
      </c>
      <c r="O507" s="6" t="s">
        <v>42</v>
      </c>
      <c r="P507" s="6" t="s">
        <v>50</v>
      </c>
      <c r="Q507" t="s">
        <v>1236</v>
      </c>
      <c r="R507" s="6" t="s">
        <v>38</v>
      </c>
      <c r="S507" s="6" t="s">
        <v>62</v>
      </c>
      <c r="T507" s="14">
        <v>4.6399999999999997E-2</v>
      </c>
      <c r="U507">
        <v>4.6399999999999997</v>
      </c>
      <c r="V507" t="str">
        <f>IF(fin_table[[#This Row],[Interest Rate(%)]]&gt;4,"high","low")</f>
        <v>high</v>
      </c>
      <c r="W507" s="5">
        <v>26681.654999999999</v>
      </c>
      <c r="X507" s="5">
        <f>fin_table[[#This Row],[Interest Rate]]*fin_table[[#This Row],[Loan Amount]]</f>
        <v>1238.0287919999998</v>
      </c>
      <c r="Y507">
        <v>13</v>
      </c>
      <c r="Z507" s="3">
        <v>522</v>
      </c>
      <c r="AA507" s="3" t="str">
        <f t="shared" si="53"/>
        <v>Poor</v>
      </c>
      <c r="AB507" s="3" cm="1">
        <f t="array" ref="AB507">_xlfn.IFS(fin_table[[#This Row],[Transaction Status]]="Failed", 1, fin_table[[#This Row],[Transaction Status]]="Completed",0,fin_table[[#This Row],[Transaction Status]]="Pending",2)</f>
        <v>2</v>
      </c>
      <c r="AC507" s="3" t="str">
        <f>IF(fin_table[[#This Row],[Loan Defaulters]]=1,"Default", "Good")</f>
        <v>Good</v>
      </c>
      <c r="AD507" s="3">
        <f t="shared" si="54"/>
        <v>1</v>
      </c>
      <c r="AE507" s="4">
        <v>6916.01</v>
      </c>
      <c r="AF507" s="4" t="str">
        <f>IF(fin_table[[#This Row],[Monthly Income]]&lt;3000, "Low Income", IF(fin_table[[#This Row],[Monthly Income]]&lt;=5000, "Middle Income", "High Income"))</f>
        <v>High Income</v>
      </c>
      <c r="AG507" t="s">
        <v>45</v>
      </c>
      <c r="AH507" t="s">
        <v>3635</v>
      </c>
      <c r="AI507" t="str">
        <f t="shared" si="55"/>
        <v>Low-Risk</v>
      </c>
    </row>
    <row r="508" spans="1:35" x14ac:dyDescent="0.35">
      <c r="A508" t="s">
        <v>1931</v>
      </c>
      <c r="B508" t="s">
        <v>1932</v>
      </c>
      <c r="C508" t="s">
        <v>1933</v>
      </c>
      <c r="D508" s="1">
        <v>44805</v>
      </c>
      <c r="E508" s="1" t="str">
        <f t="shared" si="49"/>
        <v>01</v>
      </c>
      <c r="F508" s="1" t="str">
        <f t="shared" si="50"/>
        <v>Sep</v>
      </c>
      <c r="G508" s="6" t="s">
        <v>23</v>
      </c>
      <c r="H508" s="5">
        <v>8284.48</v>
      </c>
      <c r="I508" s="5" t="str">
        <f>IF(fin_table[[#This Row],[Account Balance]]&lt;20000,"Active", "Not Active")</f>
        <v>Active</v>
      </c>
      <c r="J508" s="5">
        <v>17536.54</v>
      </c>
      <c r="K508" s="5" t="str">
        <f t="shared" si="51"/>
        <v>Medium</v>
      </c>
      <c r="L508" s="6" t="s">
        <v>100</v>
      </c>
      <c r="M508">
        <v>19</v>
      </c>
      <c r="N508" s="6" t="str">
        <f t="shared" si="52"/>
        <v>Young Adults</v>
      </c>
      <c r="O508" s="6" t="s">
        <v>25</v>
      </c>
      <c r="P508" s="6" t="s">
        <v>36</v>
      </c>
      <c r="Q508" t="s">
        <v>1860</v>
      </c>
      <c r="R508" s="6" t="s">
        <v>38</v>
      </c>
      <c r="S508" s="6" t="s">
        <v>62</v>
      </c>
      <c r="T508" s="14">
        <v>4.2599999999999999E-2</v>
      </c>
      <c r="U508">
        <v>4.26</v>
      </c>
      <c r="V508" t="str">
        <f>IF(fin_table[[#This Row],[Interest Rate(%)]]&gt;4,"high","low")</f>
        <v>high</v>
      </c>
      <c r="W508" s="5">
        <v>26681.654999999999</v>
      </c>
      <c r="X508" s="5">
        <f>fin_table[[#This Row],[Interest Rate]]*fin_table[[#This Row],[Loan Amount]]</f>
        <v>1136.6385029999999</v>
      </c>
      <c r="Y508">
        <v>23</v>
      </c>
      <c r="Z508" s="3">
        <v>515</v>
      </c>
      <c r="AA508" s="3" t="str">
        <f t="shared" si="53"/>
        <v>Poor</v>
      </c>
      <c r="AB508" s="3" cm="1">
        <f t="array" ref="AB508">_xlfn.IFS(fin_table[[#This Row],[Transaction Status]]="Failed", 1, fin_table[[#This Row],[Transaction Status]]="Completed",0,fin_table[[#This Row],[Transaction Status]]="Pending",2)</f>
        <v>2</v>
      </c>
      <c r="AC508" s="3" t="str">
        <f>IF(fin_table[[#This Row],[Loan Defaulters]]=1,"Default", "Good")</f>
        <v>Good</v>
      </c>
      <c r="AD508" s="3">
        <f t="shared" si="54"/>
        <v>1</v>
      </c>
      <c r="AE508" s="4">
        <v>10888.5</v>
      </c>
      <c r="AF508" s="4" t="str">
        <f>IF(fin_table[[#This Row],[Monthly Income]]&lt;3000, "Low Income", IF(fin_table[[#This Row],[Monthly Income]]&lt;=5000, "Middle Income", "High Income"))</f>
        <v>High Income</v>
      </c>
      <c r="AG508" t="s">
        <v>30</v>
      </c>
      <c r="AH508" t="s">
        <v>3635</v>
      </c>
      <c r="AI508" t="str">
        <f t="shared" si="55"/>
        <v>Low-Risk</v>
      </c>
    </row>
    <row r="509" spans="1:35" x14ac:dyDescent="0.35">
      <c r="A509" t="s">
        <v>1934</v>
      </c>
      <c r="B509" t="s">
        <v>1935</v>
      </c>
      <c r="C509" t="s">
        <v>1936</v>
      </c>
      <c r="D509" s="1">
        <v>44588</v>
      </c>
      <c r="E509" s="1" t="str">
        <f t="shared" si="49"/>
        <v>27</v>
      </c>
      <c r="F509" s="1" t="str">
        <f t="shared" si="50"/>
        <v>Jan</v>
      </c>
      <c r="G509" s="6" t="s">
        <v>34</v>
      </c>
      <c r="H509" s="5">
        <v>1386.31</v>
      </c>
      <c r="I509" s="5" t="str">
        <f>IF(fin_table[[#This Row],[Account Balance]]&lt;20000,"Active", "Not Active")</f>
        <v>Not Active</v>
      </c>
      <c r="J509" s="5">
        <v>36743.72</v>
      </c>
      <c r="K509" s="5" t="str">
        <f t="shared" si="51"/>
        <v>Medium</v>
      </c>
      <c r="L509" s="6" t="s">
        <v>24</v>
      </c>
      <c r="M509">
        <v>66</v>
      </c>
      <c r="N509" s="6" t="str">
        <f t="shared" si="52"/>
        <v>Seniors</v>
      </c>
      <c r="O509" s="6" t="s">
        <v>42</v>
      </c>
      <c r="P509" s="6" t="s">
        <v>50</v>
      </c>
      <c r="Q509" t="s">
        <v>1937</v>
      </c>
      <c r="R509" s="6" t="s">
        <v>28</v>
      </c>
      <c r="S509" s="6" t="s">
        <v>62</v>
      </c>
      <c r="T509" s="14">
        <v>3.0800000000000001E-2</v>
      </c>
      <c r="U509">
        <v>3.08</v>
      </c>
      <c r="V509" t="str">
        <f>IF(fin_table[[#This Row],[Interest Rate(%)]]&gt;4,"high","low")</f>
        <v>low</v>
      </c>
      <c r="W509" s="5">
        <v>7551.71</v>
      </c>
      <c r="X509" s="5">
        <f>fin_table[[#This Row],[Interest Rate]]*fin_table[[#This Row],[Loan Amount]]</f>
        <v>232.592668</v>
      </c>
      <c r="Y509">
        <v>12</v>
      </c>
      <c r="Z509" s="3">
        <v>530</v>
      </c>
      <c r="AA509" s="3" t="str">
        <f t="shared" si="53"/>
        <v>Poor</v>
      </c>
      <c r="AB509" s="3" cm="1">
        <f t="array" ref="AB509">_xlfn.IFS(fin_table[[#This Row],[Transaction Status]]="Failed", 1, fin_table[[#This Row],[Transaction Status]]="Completed",0,fin_table[[#This Row],[Transaction Status]]="Pending",2)</f>
        <v>2</v>
      </c>
      <c r="AC509" s="3" t="str">
        <f>IF(fin_table[[#This Row],[Loan Defaulters]]=1,"Default", "Good")</f>
        <v>Good</v>
      </c>
      <c r="AD509" s="3">
        <f t="shared" si="54"/>
        <v>1</v>
      </c>
      <c r="AE509" s="4">
        <v>4969.4399999999996</v>
      </c>
      <c r="AF509" s="4" t="str">
        <f>IF(fin_table[[#This Row],[Monthly Income]]&lt;3000, "Low Income", IF(fin_table[[#This Row],[Monthly Income]]&lt;=5000, "Middle Income", "High Income"))</f>
        <v>Middle Income</v>
      </c>
      <c r="AG509" t="s">
        <v>45</v>
      </c>
      <c r="AH509" t="s">
        <v>3636</v>
      </c>
      <c r="AI509" t="str">
        <f t="shared" si="55"/>
        <v>Low-Risk</v>
      </c>
    </row>
    <row r="510" spans="1:35" x14ac:dyDescent="0.35">
      <c r="A510" t="s">
        <v>1938</v>
      </c>
      <c r="B510" t="s">
        <v>467</v>
      </c>
      <c r="C510" t="s">
        <v>1939</v>
      </c>
      <c r="D510" s="1">
        <v>44729</v>
      </c>
      <c r="E510" s="1" t="str">
        <f t="shared" si="49"/>
        <v>17</v>
      </c>
      <c r="F510" s="1" t="str">
        <f t="shared" si="50"/>
        <v>Jun</v>
      </c>
      <c r="G510" s="6" t="s">
        <v>34</v>
      </c>
      <c r="H510" s="5">
        <v>5693.35</v>
      </c>
      <c r="I510" s="5" t="str">
        <f>IF(fin_table[[#This Row],[Account Balance]]&lt;20000,"Active", "Not Active")</f>
        <v>Not Active</v>
      </c>
      <c r="J510" s="5">
        <v>29087.94</v>
      </c>
      <c r="K510" s="5" t="str">
        <f t="shared" si="51"/>
        <v>Medium</v>
      </c>
      <c r="L510" s="6" t="s">
        <v>100</v>
      </c>
      <c r="M510">
        <v>41</v>
      </c>
      <c r="N510" s="6" t="str">
        <f t="shared" si="52"/>
        <v>Middle-Aged</v>
      </c>
      <c r="O510" s="6" t="s">
        <v>42</v>
      </c>
      <c r="P510" s="6" t="s">
        <v>26</v>
      </c>
      <c r="Q510" t="s">
        <v>1940</v>
      </c>
      <c r="R510" s="6" t="s">
        <v>28</v>
      </c>
      <c r="S510" s="6" t="s">
        <v>44</v>
      </c>
      <c r="T510" s="14">
        <v>4.0899999999999999E-2</v>
      </c>
      <c r="U510">
        <v>4.09</v>
      </c>
      <c r="V510" t="str">
        <f>IF(fin_table[[#This Row],[Interest Rate(%)]]&gt;4,"high","low")</f>
        <v>high</v>
      </c>
      <c r="W510" s="5">
        <v>30371.15</v>
      </c>
      <c r="X510" s="5">
        <f>fin_table[[#This Row],[Interest Rate]]*fin_table[[#This Row],[Loan Amount]]</f>
        <v>1242.1800350000001</v>
      </c>
      <c r="Y510">
        <v>27</v>
      </c>
      <c r="Z510" s="3">
        <v>704</v>
      </c>
      <c r="AA510" s="3" t="str">
        <f t="shared" si="53"/>
        <v>Good</v>
      </c>
      <c r="AB510" s="3" cm="1">
        <f t="array" ref="AB510">_xlfn.IFS(fin_table[[#This Row],[Transaction Status]]="Failed", 1, fin_table[[#This Row],[Transaction Status]]="Completed",0,fin_table[[#This Row],[Transaction Status]]="Pending",2)</f>
        <v>0</v>
      </c>
      <c r="AC510" s="3" t="str">
        <f>IF(fin_table[[#This Row],[Loan Defaulters]]=1,"Default", "Good")</f>
        <v>Good</v>
      </c>
      <c r="AD510" s="3">
        <f t="shared" si="54"/>
        <v>3</v>
      </c>
      <c r="AE510" s="4">
        <v>7499.19</v>
      </c>
      <c r="AF510" s="4" t="str">
        <f>IF(fin_table[[#This Row],[Monthly Income]]&lt;3000, "Low Income", IF(fin_table[[#This Row],[Monthly Income]]&lt;=5000, "Middle Income", "High Income"))</f>
        <v>High Income</v>
      </c>
      <c r="AG510" t="s">
        <v>63</v>
      </c>
      <c r="AH510" t="s">
        <v>3636</v>
      </c>
      <c r="AI510" t="str">
        <f t="shared" si="55"/>
        <v>Low-Risk</v>
      </c>
    </row>
    <row r="511" spans="1:35" x14ac:dyDescent="0.35">
      <c r="A511" t="s">
        <v>1941</v>
      </c>
      <c r="B511" t="s">
        <v>1942</v>
      </c>
      <c r="C511" t="s">
        <v>1943</v>
      </c>
      <c r="D511" s="1">
        <v>45092</v>
      </c>
      <c r="E511" s="1" t="str">
        <f t="shared" si="49"/>
        <v>15</v>
      </c>
      <c r="F511" s="1" t="str">
        <f t="shared" si="50"/>
        <v>Jun</v>
      </c>
      <c r="G511" s="6" t="s">
        <v>56</v>
      </c>
      <c r="H511" s="5">
        <v>8678.83</v>
      </c>
      <c r="I511" s="5" t="str">
        <f>IF(fin_table[[#This Row],[Account Balance]]&lt;20000,"Active", "Not Active")</f>
        <v>Active</v>
      </c>
      <c r="J511" s="5">
        <v>17544.82</v>
      </c>
      <c r="K511" s="5" t="str">
        <f t="shared" si="51"/>
        <v>Medium</v>
      </c>
      <c r="L511" s="6" t="s">
        <v>35</v>
      </c>
      <c r="M511">
        <v>57</v>
      </c>
      <c r="N511" s="6" t="str">
        <f t="shared" si="52"/>
        <v>Older Adults</v>
      </c>
      <c r="O511" s="6" t="s">
        <v>25</v>
      </c>
      <c r="P511" s="6" t="s">
        <v>36</v>
      </c>
      <c r="Q511" t="s">
        <v>1322</v>
      </c>
      <c r="R511" s="6" t="s">
        <v>52</v>
      </c>
      <c r="S511" s="6" t="s">
        <v>62</v>
      </c>
      <c r="T511" s="14">
        <v>3.09E-2</v>
      </c>
      <c r="U511">
        <v>3.09</v>
      </c>
      <c r="V511" t="str">
        <f>IF(fin_table[[#This Row],[Interest Rate(%)]]&gt;4,"high","low")</f>
        <v>low</v>
      </c>
      <c r="W511" s="5">
        <v>14478.43</v>
      </c>
      <c r="X511" s="5">
        <f>fin_table[[#This Row],[Interest Rate]]*fin_table[[#This Row],[Loan Amount]]</f>
        <v>447.383487</v>
      </c>
      <c r="Y511">
        <v>1</v>
      </c>
      <c r="Z511" s="3">
        <v>468</v>
      </c>
      <c r="AA511" s="3" t="str">
        <f t="shared" si="53"/>
        <v>Poor</v>
      </c>
      <c r="AB511" s="3" cm="1">
        <f t="array" ref="AB511">_xlfn.IFS(fin_table[[#This Row],[Transaction Status]]="Failed", 1, fin_table[[#This Row],[Transaction Status]]="Completed",0,fin_table[[#This Row],[Transaction Status]]="Pending",2)</f>
        <v>2</v>
      </c>
      <c r="AC511" s="3" t="str">
        <f>IF(fin_table[[#This Row],[Loan Defaulters]]=1,"Default", "Good")</f>
        <v>Good</v>
      </c>
      <c r="AD511" s="3">
        <f t="shared" si="54"/>
        <v>1</v>
      </c>
      <c r="AE511" s="4">
        <v>9245.49</v>
      </c>
      <c r="AF511" s="4" t="str">
        <f>IF(fin_table[[#This Row],[Monthly Income]]&lt;3000, "Low Income", IF(fin_table[[#This Row],[Monthly Income]]&lt;=5000, "Middle Income", "High Income"))</f>
        <v>High Income</v>
      </c>
      <c r="AG511" t="s">
        <v>30</v>
      </c>
      <c r="AH511" t="s">
        <v>3636</v>
      </c>
      <c r="AI511" t="str">
        <f t="shared" si="55"/>
        <v>Low-Risk</v>
      </c>
    </row>
    <row r="512" spans="1:35" x14ac:dyDescent="0.35">
      <c r="A512" t="s">
        <v>1944</v>
      </c>
      <c r="B512" t="s">
        <v>1945</v>
      </c>
      <c r="C512" t="s">
        <v>1946</v>
      </c>
      <c r="D512" s="1">
        <v>44754</v>
      </c>
      <c r="E512" s="1" t="str">
        <f t="shared" si="49"/>
        <v>12</v>
      </c>
      <c r="F512" s="1" t="str">
        <f t="shared" si="50"/>
        <v>Jul</v>
      </c>
      <c r="G512" s="6" t="s">
        <v>71</v>
      </c>
      <c r="H512" s="5">
        <v>5760.91</v>
      </c>
      <c r="I512" s="5" t="str">
        <f>IF(fin_table[[#This Row],[Account Balance]]&lt;20000,"Active", "Not Active")</f>
        <v>Not Active</v>
      </c>
      <c r="J512" s="5">
        <v>49437.56</v>
      </c>
      <c r="K512" s="5" t="str">
        <f t="shared" si="51"/>
        <v>Medium</v>
      </c>
      <c r="L512" s="6" t="s">
        <v>100</v>
      </c>
      <c r="M512">
        <v>48</v>
      </c>
      <c r="N512" s="6" t="str">
        <f t="shared" si="52"/>
        <v>Older Adults</v>
      </c>
      <c r="O512" s="6" t="s">
        <v>42</v>
      </c>
      <c r="P512" s="6" t="s">
        <v>26</v>
      </c>
      <c r="Q512" t="s">
        <v>1947</v>
      </c>
      <c r="R512" s="6" t="s">
        <v>38</v>
      </c>
      <c r="S512" s="6" t="s">
        <v>44</v>
      </c>
      <c r="T512" s="14">
        <v>1.6299999999999999E-2</v>
      </c>
      <c r="U512">
        <v>1.63</v>
      </c>
      <c r="V512" t="str">
        <f>IF(fin_table[[#This Row],[Interest Rate(%)]]&gt;4,"high","low")</f>
        <v>low</v>
      </c>
      <c r="W512" s="5">
        <v>47698.06</v>
      </c>
      <c r="X512" s="5">
        <f>fin_table[[#This Row],[Interest Rate]]*fin_table[[#This Row],[Loan Amount]]</f>
        <v>777.47837799999991</v>
      </c>
      <c r="Y512">
        <v>13</v>
      </c>
      <c r="Z512" s="3">
        <v>628</v>
      </c>
      <c r="AA512" s="3" t="str">
        <f t="shared" si="53"/>
        <v>Fair</v>
      </c>
      <c r="AB512" s="3" cm="1">
        <f t="array" ref="AB512">_xlfn.IFS(fin_table[[#This Row],[Transaction Status]]="Failed", 1, fin_table[[#This Row],[Transaction Status]]="Completed",0,fin_table[[#This Row],[Transaction Status]]="Pending",2)</f>
        <v>0</v>
      </c>
      <c r="AC512" s="3" t="str">
        <f>IF(fin_table[[#This Row],[Loan Defaulters]]=1,"Default", "Good")</f>
        <v>Good</v>
      </c>
      <c r="AD512" s="3">
        <f t="shared" si="54"/>
        <v>2</v>
      </c>
      <c r="AE512" s="4">
        <v>13551.7</v>
      </c>
      <c r="AF512" s="4" t="str">
        <f>IF(fin_table[[#This Row],[Monthly Income]]&lt;3000, "Low Income", IF(fin_table[[#This Row],[Monthly Income]]&lt;=5000, "Middle Income", "High Income"))</f>
        <v>High Income</v>
      </c>
      <c r="AG512" t="s">
        <v>45</v>
      </c>
      <c r="AH512" t="s">
        <v>3636</v>
      </c>
      <c r="AI512" t="str">
        <f t="shared" si="55"/>
        <v>Low-Risk</v>
      </c>
    </row>
    <row r="513" spans="1:35" x14ac:dyDescent="0.35">
      <c r="A513" t="s">
        <v>1948</v>
      </c>
      <c r="B513" t="s">
        <v>1949</v>
      </c>
      <c r="C513" t="s">
        <v>1950</v>
      </c>
      <c r="D513" s="1">
        <v>45080</v>
      </c>
      <c r="E513" s="1" t="str">
        <f t="shared" si="49"/>
        <v>03</v>
      </c>
      <c r="F513" s="1" t="str">
        <f t="shared" si="50"/>
        <v>Jun</v>
      </c>
      <c r="G513" s="6" t="s">
        <v>34</v>
      </c>
      <c r="H513" s="5">
        <v>9081.2800000000007</v>
      </c>
      <c r="I513" s="5" t="str">
        <f>IF(fin_table[[#This Row],[Account Balance]]&lt;20000,"Active", "Not Active")</f>
        <v>Active</v>
      </c>
      <c r="J513" s="5">
        <v>2236.63</v>
      </c>
      <c r="K513" s="5" t="str">
        <f t="shared" si="51"/>
        <v>Low</v>
      </c>
      <c r="L513" s="6" t="s">
        <v>24</v>
      </c>
      <c r="M513">
        <v>64</v>
      </c>
      <c r="N513" s="6" t="str">
        <f t="shared" si="52"/>
        <v>Seniors</v>
      </c>
      <c r="O513" s="6" t="s">
        <v>42</v>
      </c>
      <c r="P513" s="6" t="s">
        <v>50</v>
      </c>
      <c r="Q513" t="s">
        <v>1951</v>
      </c>
      <c r="R513" s="6" t="s">
        <v>52</v>
      </c>
      <c r="S513" s="6" t="s">
        <v>29</v>
      </c>
      <c r="T513" s="14">
        <v>1.4999999999999999E-2</v>
      </c>
      <c r="U513">
        <v>1.4999999999999999E-2</v>
      </c>
      <c r="V513" t="str">
        <f>IF(fin_table[[#This Row],[Interest Rate(%)]]&gt;4,"high","low")</f>
        <v>low</v>
      </c>
      <c r="W513" s="5">
        <v>26681.654999999999</v>
      </c>
      <c r="X513" s="5">
        <f>fin_table[[#This Row],[Interest Rate]]*fin_table[[#This Row],[Loan Amount]]</f>
        <v>400.22482499999995</v>
      </c>
      <c r="Y513">
        <v>13</v>
      </c>
      <c r="Z513" s="3">
        <v>725</v>
      </c>
      <c r="AA513" s="3" t="str">
        <f t="shared" si="53"/>
        <v>Good</v>
      </c>
      <c r="AB513" s="3" cm="1">
        <f t="array" ref="AB513">_xlfn.IFS(fin_table[[#This Row],[Transaction Status]]="Failed", 1, fin_table[[#This Row],[Transaction Status]]="Completed",0,fin_table[[#This Row],[Transaction Status]]="Pending",2)</f>
        <v>1</v>
      </c>
      <c r="AC513" s="3" t="str">
        <f>IF(fin_table[[#This Row],[Loan Defaulters]]=1,"Default", "Good")</f>
        <v>Default</v>
      </c>
      <c r="AD513" s="3">
        <f t="shared" si="54"/>
        <v>3</v>
      </c>
      <c r="AE513" s="4">
        <v>6238.92</v>
      </c>
      <c r="AF513" s="4" t="str">
        <f>IF(fin_table[[#This Row],[Monthly Income]]&lt;3000, "Low Income", IF(fin_table[[#This Row],[Monthly Income]]&lt;=5000, "Middle Income", "High Income"))</f>
        <v>High Income</v>
      </c>
      <c r="AG513" t="s">
        <v>63</v>
      </c>
      <c r="AH513" t="s">
        <v>3635</v>
      </c>
      <c r="AI513" t="str">
        <f t="shared" si="55"/>
        <v>Low-Risk</v>
      </c>
    </row>
    <row r="514" spans="1:35" x14ac:dyDescent="0.35">
      <c r="A514" t="s">
        <v>1952</v>
      </c>
      <c r="B514" t="s">
        <v>1953</v>
      </c>
      <c r="C514" t="s">
        <v>1954</v>
      </c>
      <c r="D514" s="1">
        <v>44800</v>
      </c>
      <c r="E514" s="1" t="str">
        <f t="shared" ref="E514:E577" si="56">TEXT(D514, "DD")</f>
        <v>27</v>
      </c>
      <c r="F514" s="1" t="str">
        <f t="shared" ref="F514:F577" si="57">TEXT(D514, "MMM")</f>
        <v>Aug</v>
      </c>
      <c r="G514" s="6" t="s">
        <v>23</v>
      </c>
      <c r="H514" s="5">
        <v>9435.5400000000009</v>
      </c>
      <c r="I514" s="5" t="str">
        <f>IF(fin_table[[#This Row],[Account Balance]]&lt;20000,"Active", "Not Active")</f>
        <v>Active</v>
      </c>
      <c r="J514" s="5">
        <v>13379.66</v>
      </c>
      <c r="K514" s="5" t="str">
        <f t="shared" ref="K514:K577" si="58">IF(J514&lt;10000, "Low", IF(J514&lt;50000, "Medium", "High"))</f>
        <v>Medium</v>
      </c>
      <c r="L514" s="6" t="s">
        <v>125</v>
      </c>
      <c r="M514">
        <v>48</v>
      </c>
      <c r="N514" s="6" t="str">
        <f t="shared" ref="N514:N577" si="59">IF(M514&lt;18, "Teenagers", IF(M514&lt;=25, "Young Adults", IF(M514&lt;=35, "Adults", IF(M514&lt;=45, "Middle-Aged", IF(M514&lt;=60, "Older Adults", "Seniors")))))</f>
        <v>Older Adults</v>
      </c>
      <c r="O514" s="6" t="s">
        <v>42</v>
      </c>
      <c r="P514" s="6" t="s">
        <v>50</v>
      </c>
      <c r="Q514" t="s">
        <v>1955</v>
      </c>
      <c r="R514" s="6" t="s">
        <v>38</v>
      </c>
      <c r="S514" s="6" t="s">
        <v>44</v>
      </c>
      <c r="T514" s="14">
        <v>1.7500000000000002E-2</v>
      </c>
      <c r="U514">
        <v>1.75</v>
      </c>
      <c r="V514" t="str">
        <f>IF(fin_table[[#This Row],[Interest Rate(%)]]&gt;4,"high","low")</f>
        <v>low</v>
      </c>
      <c r="W514" s="5">
        <v>19634.95</v>
      </c>
      <c r="X514" s="5">
        <f>fin_table[[#This Row],[Interest Rate]]*fin_table[[#This Row],[Loan Amount]]</f>
        <v>343.61162500000006</v>
      </c>
      <c r="Y514">
        <v>17</v>
      </c>
      <c r="Z514" s="3">
        <v>495</v>
      </c>
      <c r="AA514" s="3" t="str">
        <f t="shared" ref="AA514:AA577" si="60">IF(Z514&lt;580, "Poor", IF(Z514&lt;670, "Fair", IF(Z514&lt;740, "Good", IF(Z514&lt;800, "Very Good", "Excellent"))))</f>
        <v>Poor</v>
      </c>
      <c r="AB514" s="3" cm="1">
        <f t="array" ref="AB514">_xlfn.IFS(fin_table[[#This Row],[Transaction Status]]="Failed", 1, fin_table[[#This Row],[Transaction Status]]="Completed",0,fin_table[[#This Row],[Transaction Status]]="Pending",2)</f>
        <v>0</v>
      </c>
      <c r="AC514" s="3" t="str">
        <f>IF(fin_table[[#This Row],[Loan Defaulters]]=1,"Default", "Good")</f>
        <v>Good</v>
      </c>
      <c r="AD514" s="3">
        <f t="shared" ref="AD514:AD577" si="61">IF(AA514="Poor", 1, IF(AA514="Fair", 2, IF(AA514="Good", 3, IF(AA514="Very Good", 4, IF(AA514="Excellent", 5, "")))))</f>
        <v>1</v>
      </c>
      <c r="AE514" s="4">
        <v>3736.26</v>
      </c>
      <c r="AF514" s="4" t="str">
        <f>IF(fin_table[[#This Row],[Monthly Income]]&lt;3000, "Low Income", IF(fin_table[[#This Row],[Monthly Income]]&lt;=5000, "Middle Income", "High Income"))</f>
        <v>Middle Income</v>
      </c>
      <c r="AG514" t="s">
        <v>45</v>
      </c>
      <c r="AH514" t="s">
        <v>3636</v>
      </c>
      <c r="AI514" t="str">
        <f t="shared" ref="AI514:AI577" si="62">IF(AND(W514&gt;33000, Z514&lt;600), "High-Risk", "Low-Risk")</f>
        <v>Low-Risk</v>
      </c>
    </row>
    <row r="515" spans="1:35" x14ac:dyDescent="0.35">
      <c r="A515" t="s">
        <v>1956</v>
      </c>
      <c r="B515" t="s">
        <v>1780</v>
      </c>
      <c r="C515" t="s">
        <v>1957</v>
      </c>
      <c r="D515" s="1">
        <v>44687</v>
      </c>
      <c r="E515" s="1" t="str">
        <f t="shared" si="56"/>
        <v>06</v>
      </c>
      <c r="F515" s="1" t="str">
        <f t="shared" si="57"/>
        <v>May</v>
      </c>
      <c r="G515" s="6" t="s">
        <v>71</v>
      </c>
      <c r="H515" s="5">
        <v>4281.6099999999997</v>
      </c>
      <c r="I515" s="5" t="str">
        <f>IF(fin_table[[#This Row],[Account Balance]]&lt;20000,"Active", "Not Active")</f>
        <v>Not Active</v>
      </c>
      <c r="J515" s="5">
        <v>26483.63</v>
      </c>
      <c r="K515" s="5" t="str">
        <f t="shared" si="58"/>
        <v>Medium</v>
      </c>
      <c r="L515" s="6" t="s">
        <v>49</v>
      </c>
      <c r="M515">
        <v>64</v>
      </c>
      <c r="N515" s="6" t="str">
        <f t="shared" si="59"/>
        <v>Seniors</v>
      </c>
      <c r="O515" s="6" t="s">
        <v>42</v>
      </c>
      <c r="P515" s="6" t="s">
        <v>36</v>
      </c>
      <c r="Q515" t="s">
        <v>747</v>
      </c>
      <c r="R515" s="6" t="s">
        <v>28</v>
      </c>
      <c r="S515" s="6" t="s">
        <v>44</v>
      </c>
      <c r="T515" s="14">
        <v>2.4E-2</v>
      </c>
      <c r="U515">
        <v>2.4E-2</v>
      </c>
      <c r="V515" t="str">
        <f>IF(fin_table[[#This Row],[Interest Rate(%)]]&gt;4,"high","low")</f>
        <v>low</v>
      </c>
      <c r="W515" s="5">
        <v>46552.31</v>
      </c>
      <c r="X515" s="5">
        <f>fin_table[[#This Row],[Interest Rate]]*fin_table[[#This Row],[Loan Amount]]</f>
        <v>1117.2554399999999</v>
      </c>
      <c r="Y515">
        <v>2</v>
      </c>
      <c r="Z515" s="3">
        <v>825</v>
      </c>
      <c r="AA515" s="3" t="str">
        <f t="shared" si="60"/>
        <v>Excellent</v>
      </c>
      <c r="AB515" s="3" cm="1">
        <f t="array" ref="AB515">_xlfn.IFS(fin_table[[#This Row],[Transaction Status]]="Failed", 1, fin_table[[#This Row],[Transaction Status]]="Completed",0,fin_table[[#This Row],[Transaction Status]]="Pending",2)</f>
        <v>0</v>
      </c>
      <c r="AC515" s="3" t="str">
        <f>IF(fin_table[[#This Row],[Loan Defaulters]]=1,"Default", "Good")</f>
        <v>Good</v>
      </c>
      <c r="AD515" s="3">
        <f t="shared" si="61"/>
        <v>5</v>
      </c>
      <c r="AE515" s="4">
        <v>8360.5400000000009</v>
      </c>
      <c r="AF515" s="4" t="str">
        <f>IF(fin_table[[#This Row],[Monthly Income]]&lt;3000, "Low Income", IF(fin_table[[#This Row],[Monthly Income]]&lt;=5000, "Middle Income", "High Income"))</f>
        <v>High Income</v>
      </c>
      <c r="AG515" t="s">
        <v>30</v>
      </c>
      <c r="AH515" t="s">
        <v>3636</v>
      </c>
      <c r="AI515" t="str">
        <f t="shared" si="62"/>
        <v>Low-Risk</v>
      </c>
    </row>
    <row r="516" spans="1:35" x14ac:dyDescent="0.35">
      <c r="A516" t="s">
        <v>1958</v>
      </c>
      <c r="B516" t="s">
        <v>1959</v>
      </c>
      <c r="C516" t="s">
        <v>1960</v>
      </c>
      <c r="D516" s="1">
        <v>44792</v>
      </c>
      <c r="E516" s="1" t="str">
        <f t="shared" si="56"/>
        <v>19</v>
      </c>
      <c r="F516" s="1" t="str">
        <f t="shared" si="57"/>
        <v>Aug</v>
      </c>
      <c r="G516" s="6" t="s">
        <v>71</v>
      </c>
      <c r="H516" s="5">
        <v>3835.41</v>
      </c>
      <c r="I516" s="5" t="str">
        <f>IF(fin_table[[#This Row],[Account Balance]]&lt;20000,"Active", "Not Active")</f>
        <v>Not Active</v>
      </c>
      <c r="J516" s="5">
        <v>26575.7</v>
      </c>
      <c r="K516" s="5" t="str">
        <f t="shared" si="58"/>
        <v>Medium</v>
      </c>
      <c r="L516" s="6" t="s">
        <v>100</v>
      </c>
      <c r="M516">
        <v>57</v>
      </c>
      <c r="N516" s="6" t="str">
        <f t="shared" si="59"/>
        <v>Older Adults</v>
      </c>
      <c r="O516" s="6" t="s">
        <v>25</v>
      </c>
      <c r="P516" s="6" t="s">
        <v>50</v>
      </c>
      <c r="Q516" t="s">
        <v>1961</v>
      </c>
      <c r="R516" s="6" t="s">
        <v>52</v>
      </c>
      <c r="S516" s="6" t="s">
        <v>62</v>
      </c>
      <c r="T516" s="14">
        <v>4.7199999999999999E-2</v>
      </c>
      <c r="U516">
        <v>4.72</v>
      </c>
      <c r="V516" t="str">
        <f>IF(fin_table[[#This Row],[Interest Rate(%)]]&gt;4,"high","low")</f>
        <v>high</v>
      </c>
      <c r="W516" s="5">
        <v>23780.66</v>
      </c>
      <c r="X516" s="5">
        <f>fin_table[[#This Row],[Interest Rate]]*fin_table[[#This Row],[Loan Amount]]</f>
        <v>1122.447152</v>
      </c>
      <c r="Y516">
        <v>17</v>
      </c>
      <c r="Z516" s="3">
        <v>376</v>
      </c>
      <c r="AA516" s="3" t="str">
        <f t="shared" si="60"/>
        <v>Poor</v>
      </c>
      <c r="AB516" s="3" cm="1">
        <f t="array" ref="AB516">_xlfn.IFS(fin_table[[#This Row],[Transaction Status]]="Failed", 1, fin_table[[#This Row],[Transaction Status]]="Completed",0,fin_table[[#This Row],[Transaction Status]]="Pending",2)</f>
        <v>2</v>
      </c>
      <c r="AC516" s="3" t="str">
        <f>IF(fin_table[[#This Row],[Loan Defaulters]]=1,"Default", "Good")</f>
        <v>Good</v>
      </c>
      <c r="AD516" s="3">
        <f t="shared" si="61"/>
        <v>1</v>
      </c>
      <c r="AE516" s="4">
        <v>11707.38</v>
      </c>
      <c r="AF516" s="4" t="str">
        <f>IF(fin_table[[#This Row],[Monthly Income]]&lt;3000, "Low Income", IF(fin_table[[#This Row],[Monthly Income]]&lt;=5000, "Middle Income", "High Income"))</f>
        <v>High Income</v>
      </c>
      <c r="AG516" t="s">
        <v>30</v>
      </c>
      <c r="AH516" t="s">
        <v>3636</v>
      </c>
      <c r="AI516" t="str">
        <f t="shared" si="62"/>
        <v>Low-Risk</v>
      </c>
    </row>
    <row r="517" spans="1:35" x14ac:dyDescent="0.35">
      <c r="A517" t="s">
        <v>1962</v>
      </c>
      <c r="B517" t="s">
        <v>1963</v>
      </c>
      <c r="C517" t="s">
        <v>1964</v>
      </c>
      <c r="D517" s="1">
        <v>45157</v>
      </c>
      <c r="E517" s="1" t="str">
        <f t="shared" si="56"/>
        <v>19</v>
      </c>
      <c r="F517" s="1" t="str">
        <f t="shared" si="57"/>
        <v>Aug</v>
      </c>
      <c r="G517" s="6" t="s">
        <v>34</v>
      </c>
      <c r="H517" s="5">
        <v>9369.58</v>
      </c>
      <c r="I517" s="5" t="str">
        <f>IF(fin_table[[#This Row],[Account Balance]]&lt;20000,"Active", "Not Active")</f>
        <v>Not Active</v>
      </c>
      <c r="J517" s="5">
        <v>29857.72</v>
      </c>
      <c r="K517" s="5" t="str">
        <f t="shared" si="58"/>
        <v>Medium</v>
      </c>
      <c r="L517" s="6" t="s">
        <v>49</v>
      </c>
      <c r="M517">
        <v>65</v>
      </c>
      <c r="N517" s="6" t="str">
        <f t="shared" si="59"/>
        <v>Seniors</v>
      </c>
      <c r="O517" s="6" t="s">
        <v>42</v>
      </c>
      <c r="P517" s="6" t="s">
        <v>36</v>
      </c>
      <c r="Q517" t="s">
        <v>1965</v>
      </c>
      <c r="R517" s="6" t="s">
        <v>52</v>
      </c>
      <c r="S517" s="6" t="s">
        <v>29</v>
      </c>
      <c r="T517" s="14">
        <v>4.2000000000000003E-2</v>
      </c>
      <c r="U517">
        <v>4.2000000000000003E-2</v>
      </c>
      <c r="V517" t="str">
        <f>IF(fin_table[[#This Row],[Interest Rate(%)]]&gt;4,"high","low")</f>
        <v>low</v>
      </c>
      <c r="W517" s="5">
        <v>26681.654999999999</v>
      </c>
      <c r="X517" s="5">
        <f>fin_table[[#This Row],[Interest Rate]]*fin_table[[#This Row],[Loan Amount]]</f>
        <v>1120.62951</v>
      </c>
      <c r="Y517">
        <v>13</v>
      </c>
      <c r="Z517" s="3">
        <v>576</v>
      </c>
      <c r="AA517" s="3" t="str">
        <f t="shared" si="60"/>
        <v>Poor</v>
      </c>
      <c r="AB517" s="3" cm="1">
        <f t="array" ref="AB517">_xlfn.IFS(fin_table[[#This Row],[Transaction Status]]="Failed", 1, fin_table[[#This Row],[Transaction Status]]="Completed",0,fin_table[[#This Row],[Transaction Status]]="Pending",2)</f>
        <v>1</v>
      </c>
      <c r="AC517" s="3" t="str">
        <f>IF(fin_table[[#This Row],[Loan Defaulters]]=1,"Default", "Good")</f>
        <v>Default</v>
      </c>
      <c r="AD517" s="3">
        <f t="shared" si="61"/>
        <v>1</v>
      </c>
      <c r="AE517" s="4">
        <v>3428.18</v>
      </c>
      <c r="AF517" s="4" t="str">
        <f>IF(fin_table[[#This Row],[Monthly Income]]&lt;3000, "Low Income", IF(fin_table[[#This Row],[Monthly Income]]&lt;=5000, "Middle Income", "High Income"))</f>
        <v>Middle Income</v>
      </c>
      <c r="AG517" t="s">
        <v>63</v>
      </c>
      <c r="AH517" t="s">
        <v>3635</v>
      </c>
      <c r="AI517" t="str">
        <f t="shared" si="62"/>
        <v>Low-Risk</v>
      </c>
    </row>
    <row r="518" spans="1:35" x14ac:dyDescent="0.35">
      <c r="A518" t="s">
        <v>1966</v>
      </c>
      <c r="B518" t="s">
        <v>1967</v>
      </c>
      <c r="C518" t="s">
        <v>1968</v>
      </c>
      <c r="D518" s="1">
        <v>45013</v>
      </c>
      <c r="E518" s="1" t="str">
        <f t="shared" si="56"/>
        <v>28</v>
      </c>
      <c r="F518" s="1" t="str">
        <f t="shared" si="57"/>
        <v>Mar</v>
      </c>
      <c r="G518" s="6" t="s">
        <v>34</v>
      </c>
      <c r="H518" s="5">
        <v>6783.89</v>
      </c>
      <c r="I518" s="5" t="str">
        <f>IF(fin_table[[#This Row],[Account Balance]]&lt;20000,"Active", "Not Active")</f>
        <v>Not Active</v>
      </c>
      <c r="J518" s="5">
        <v>37832.129999999997</v>
      </c>
      <c r="K518" s="5" t="str">
        <f t="shared" si="58"/>
        <v>Medium</v>
      </c>
      <c r="L518" s="6" t="s">
        <v>35</v>
      </c>
      <c r="M518">
        <v>68</v>
      </c>
      <c r="N518" s="6" t="str">
        <f t="shared" si="59"/>
        <v>Seniors</v>
      </c>
      <c r="O518" s="6" t="s">
        <v>25</v>
      </c>
      <c r="P518" s="6" t="s">
        <v>36</v>
      </c>
      <c r="Q518" t="s">
        <v>1969</v>
      </c>
      <c r="R518" s="6" t="s">
        <v>38</v>
      </c>
      <c r="S518" s="6" t="s">
        <v>29</v>
      </c>
      <c r="T518" s="14">
        <v>2.7300000000000001E-2</v>
      </c>
      <c r="U518">
        <v>2.73</v>
      </c>
      <c r="V518" t="str">
        <f>IF(fin_table[[#This Row],[Interest Rate(%)]]&gt;4,"high","low")</f>
        <v>low</v>
      </c>
      <c r="W518" s="5">
        <v>26681.654999999999</v>
      </c>
      <c r="X518" s="5">
        <f>fin_table[[#This Row],[Interest Rate]]*fin_table[[#This Row],[Loan Amount]]</f>
        <v>728.40918150000005</v>
      </c>
      <c r="Y518">
        <v>26</v>
      </c>
      <c r="Z518" s="3">
        <v>765</v>
      </c>
      <c r="AA518" s="3" t="str">
        <f t="shared" si="60"/>
        <v>Very Good</v>
      </c>
      <c r="AB518" s="3" cm="1">
        <f t="array" ref="AB518">_xlfn.IFS(fin_table[[#This Row],[Transaction Status]]="Failed", 1, fin_table[[#This Row],[Transaction Status]]="Completed",0,fin_table[[#This Row],[Transaction Status]]="Pending",2)</f>
        <v>1</v>
      </c>
      <c r="AC518" s="3" t="str">
        <f>IF(fin_table[[#This Row],[Loan Defaulters]]=1,"Default", "Good")</f>
        <v>Default</v>
      </c>
      <c r="AD518" s="3">
        <f t="shared" si="61"/>
        <v>4</v>
      </c>
      <c r="AE518" s="4">
        <v>7520.89</v>
      </c>
      <c r="AF518" s="4" t="str">
        <f>IF(fin_table[[#This Row],[Monthly Income]]&lt;3000, "Low Income", IF(fin_table[[#This Row],[Monthly Income]]&lt;=5000, "Middle Income", "High Income"))</f>
        <v>High Income</v>
      </c>
      <c r="AG518" t="s">
        <v>30</v>
      </c>
      <c r="AH518" t="s">
        <v>3635</v>
      </c>
      <c r="AI518" t="str">
        <f t="shared" si="62"/>
        <v>Low-Risk</v>
      </c>
    </row>
    <row r="519" spans="1:35" x14ac:dyDescent="0.35">
      <c r="A519" t="s">
        <v>1970</v>
      </c>
      <c r="B519" t="s">
        <v>1971</v>
      </c>
      <c r="C519" t="s">
        <v>1972</v>
      </c>
      <c r="D519" s="1">
        <v>45028</v>
      </c>
      <c r="E519" s="1" t="str">
        <f t="shared" si="56"/>
        <v>12</v>
      </c>
      <c r="F519" s="1" t="str">
        <f t="shared" si="57"/>
        <v>Apr</v>
      </c>
      <c r="G519" s="6" t="s">
        <v>71</v>
      </c>
      <c r="H519" s="5">
        <v>1248.6199999999999</v>
      </c>
      <c r="I519" s="5" t="str">
        <f>IF(fin_table[[#This Row],[Account Balance]]&lt;20000,"Active", "Not Active")</f>
        <v>Not Active</v>
      </c>
      <c r="J519" s="5">
        <v>31550.41</v>
      </c>
      <c r="K519" s="5" t="str">
        <f t="shared" si="58"/>
        <v>Medium</v>
      </c>
      <c r="L519" s="6" t="s">
        <v>125</v>
      </c>
      <c r="M519">
        <v>60</v>
      </c>
      <c r="N519" s="6" t="str">
        <f t="shared" si="59"/>
        <v>Older Adults</v>
      </c>
      <c r="O519" s="6" t="s">
        <v>25</v>
      </c>
      <c r="P519" s="6" t="s">
        <v>36</v>
      </c>
      <c r="Q519" t="s">
        <v>1973</v>
      </c>
      <c r="R519" s="6" t="s">
        <v>38</v>
      </c>
      <c r="S519" s="6" t="s">
        <v>62</v>
      </c>
      <c r="T519" s="14">
        <v>2.9700000000000001E-2</v>
      </c>
      <c r="U519">
        <v>2.97</v>
      </c>
      <c r="V519" t="str">
        <f>IF(fin_table[[#This Row],[Interest Rate(%)]]&gt;4,"high","low")</f>
        <v>low</v>
      </c>
      <c r="W519" s="5">
        <v>18785.509999999998</v>
      </c>
      <c r="X519" s="5">
        <f>fin_table[[#This Row],[Interest Rate]]*fin_table[[#This Row],[Loan Amount]]</f>
        <v>557.92964699999993</v>
      </c>
      <c r="Y519">
        <v>9</v>
      </c>
      <c r="Z519" s="3">
        <v>747</v>
      </c>
      <c r="AA519" s="3" t="str">
        <f t="shared" si="60"/>
        <v>Very Good</v>
      </c>
      <c r="AB519" s="3" cm="1">
        <f t="array" ref="AB519">_xlfn.IFS(fin_table[[#This Row],[Transaction Status]]="Failed", 1, fin_table[[#This Row],[Transaction Status]]="Completed",0,fin_table[[#This Row],[Transaction Status]]="Pending",2)</f>
        <v>2</v>
      </c>
      <c r="AC519" s="3" t="str">
        <f>IF(fin_table[[#This Row],[Loan Defaulters]]=1,"Default", "Good")</f>
        <v>Good</v>
      </c>
      <c r="AD519" s="3">
        <f t="shared" si="61"/>
        <v>4</v>
      </c>
      <c r="AE519" s="4">
        <v>2231.21</v>
      </c>
      <c r="AF519" s="4" t="str">
        <f>IF(fin_table[[#This Row],[Monthly Income]]&lt;3000, "Low Income", IF(fin_table[[#This Row],[Monthly Income]]&lt;=5000, "Middle Income", "High Income"))</f>
        <v>Low Income</v>
      </c>
      <c r="AG519" t="s">
        <v>63</v>
      </c>
      <c r="AH519" t="s">
        <v>3636</v>
      </c>
      <c r="AI519" t="str">
        <f t="shared" si="62"/>
        <v>Low-Risk</v>
      </c>
    </row>
    <row r="520" spans="1:35" x14ac:dyDescent="0.35">
      <c r="A520" t="s">
        <v>1974</v>
      </c>
      <c r="B520" t="s">
        <v>1975</v>
      </c>
      <c r="C520" t="s">
        <v>1976</v>
      </c>
      <c r="D520" s="1">
        <v>44743</v>
      </c>
      <c r="E520" s="1" t="str">
        <f t="shared" si="56"/>
        <v>01</v>
      </c>
      <c r="F520" s="1" t="str">
        <f t="shared" si="57"/>
        <v>Jul</v>
      </c>
      <c r="G520" s="6" t="s">
        <v>71</v>
      </c>
      <c r="H520" s="5">
        <v>518.69000000000005</v>
      </c>
      <c r="I520" s="5" t="str">
        <f>IF(fin_table[[#This Row],[Account Balance]]&lt;20000,"Active", "Not Active")</f>
        <v>Not Active</v>
      </c>
      <c r="J520" s="5">
        <v>30413.79</v>
      </c>
      <c r="K520" s="5" t="str">
        <f t="shared" si="58"/>
        <v>Medium</v>
      </c>
      <c r="L520" s="6" t="s">
        <v>125</v>
      </c>
      <c r="M520">
        <v>51</v>
      </c>
      <c r="N520" s="6" t="str">
        <f t="shared" si="59"/>
        <v>Older Adults</v>
      </c>
      <c r="O520" s="6" t="s">
        <v>25</v>
      </c>
      <c r="P520" s="6" t="s">
        <v>36</v>
      </c>
      <c r="Q520" t="s">
        <v>1977</v>
      </c>
      <c r="R520" s="6" t="s">
        <v>38</v>
      </c>
      <c r="S520" s="6" t="s">
        <v>29</v>
      </c>
      <c r="T520" s="14">
        <v>2.06E-2</v>
      </c>
      <c r="U520">
        <v>2.06</v>
      </c>
      <c r="V520" t="str">
        <f>IF(fin_table[[#This Row],[Interest Rate(%)]]&gt;4,"high","low")</f>
        <v>low</v>
      </c>
      <c r="W520" s="5">
        <v>34978.68</v>
      </c>
      <c r="X520" s="5">
        <f>fin_table[[#This Row],[Interest Rate]]*fin_table[[#This Row],[Loan Amount]]</f>
        <v>720.56080800000007</v>
      </c>
      <c r="Y520">
        <v>13</v>
      </c>
      <c r="Z520" s="3">
        <v>619</v>
      </c>
      <c r="AA520" s="3" t="str">
        <f t="shared" si="60"/>
        <v>Fair</v>
      </c>
      <c r="AB520" s="3" cm="1">
        <f t="array" ref="AB520">_xlfn.IFS(fin_table[[#This Row],[Transaction Status]]="Failed", 1, fin_table[[#This Row],[Transaction Status]]="Completed",0,fin_table[[#This Row],[Transaction Status]]="Pending",2)</f>
        <v>1</v>
      </c>
      <c r="AC520" s="3" t="str">
        <f>IF(fin_table[[#This Row],[Loan Defaulters]]=1,"Default", "Good")</f>
        <v>Default</v>
      </c>
      <c r="AD520" s="3">
        <f t="shared" si="61"/>
        <v>2</v>
      </c>
      <c r="AE520" s="4">
        <v>2436.27</v>
      </c>
      <c r="AF520" s="4" t="str">
        <f>IF(fin_table[[#This Row],[Monthly Income]]&lt;3000, "Low Income", IF(fin_table[[#This Row],[Monthly Income]]&lt;=5000, "Middle Income", "High Income"))</f>
        <v>Low Income</v>
      </c>
      <c r="AG520" t="s">
        <v>45</v>
      </c>
      <c r="AH520" t="s">
        <v>3636</v>
      </c>
      <c r="AI520" t="str">
        <f t="shared" si="62"/>
        <v>Low-Risk</v>
      </c>
    </row>
    <row r="521" spans="1:35" x14ac:dyDescent="0.35">
      <c r="A521" t="s">
        <v>1978</v>
      </c>
      <c r="B521" t="s">
        <v>1979</v>
      </c>
      <c r="C521" t="s">
        <v>1980</v>
      </c>
      <c r="D521" s="1">
        <v>45105</v>
      </c>
      <c r="E521" s="1" t="str">
        <f t="shared" si="56"/>
        <v>28</v>
      </c>
      <c r="F521" s="1" t="str">
        <f t="shared" si="57"/>
        <v>Jun</v>
      </c>
      <c r="G521" s="6" t="s">
        <v>56</v>
      </c>
      <c r="H521" s="5">
        <v>5689.83</v>
      </c>
      <c r="I521" s="5" t="str">
        <f>IF(fin_table[[#This Row],[Account Balance]]&lt;20000,"Active", "Not Active")</f>
        <v>Active</v>
      </c>
      <c r="J521" s="5">
        <v>3622.21</v>
      </c>
      <c r="K521" s="5" t="str">
        <f t="shared" si="58"/>
        <v>Low</v>
      </c>
      <c r="L521" s="6" t="s">
        <v>100</v>
      </c>
      <c r="M521">
        <v>41</v>
      </c>
      <c r="N521" s="6" t="str">
        <f t="shared" si="59"/>
        <v>Middle-Aged</v>
      </c>
      <c r="O521" s="6" t="s">
        <v>25</v>
      </c>
      <c r="P521" s="6" t="s">
        <v>36</v>
      </c>
      <c r="Q521" t="s">
        <v>174</v>
      </c>
      <c r="R521" s="6" t="s">
        <v>28</v>
      </c>
      <c r="S521" s="6" t="s">
        <v>29</v>
      </c>
      <c r="T521" s="14">
        <v>3.8199999999999998E-2</v>
      </c>
      <c r="U521">
        <v>3.82</v>
      </c>
      <c r="V521" t="str">
        <f>IF(fin_table[[#This Row],[Interest Rate(%)]]&gt;4,"high","low")</f>
        <v>low</v>
      </c>
      <c r="W521" s="5">
        <v>26681.654999999999</v>
      </c>
      <c r="X521" s="5">
        <f>fin_table[[#This Row],[Interest Rate]]*fin_table[[#This Row],[Loan Amount]]</f>
        <v>1019.2392209999999</v>
      </c>
      <c r="Y521">
        <v>4</v>
      </c>
      <c r="Z521" s="3">
        <v>459</v>
      </c>
      <c r="AA521" s="3" t="str">
        <f t="shared" si="60"/>
        <v>Poor</v>
      </c>
      <c r="AB521" s="3" cm="1">
        <f t="array" ref="AB521">_xlfn.IFS(fin_table[[#This Row],[Transaction Status]]="Failed", 1, fin_table[[#This Row],[Transaction Status]]="Completed",0,fin_table[[#This Row],[Transaction Status]]="Pending",2)</f>
        <v>1</v>
      </c>
      <c r="AC521" s="3" t="str">
        <f>IF(fin_table[[#This Row],[Loan Defaulters]]=1,"Default", "Good")</f>
        <v>Default</v>
      </c>
      <c r="AD521" s="3">
        <f t="shared" si="61"/>
        <v>1</v>
      </c>
      <c r="AE521" s="4">
        <v>8278.39</v>
      </c>
      <c r="AF521" s="4" t="str">
        <f>IF(fin_table[[#This Row],[Monthly Income]]&lt;3000, "Low Income", IF(fin_table[[#This Row],[Monthly Income]]&lt;=5000, "Middle Income", "High Income"))</f>
        <v>High Income</v>
      </c>
      <c r="AG521" t="s">
        <v>30</v>
      </c>
      <c r="AH521" t="s">
        <v>3635</v>
      </c>
      <c r="AI521" t="str">
        <f t="shared" si="62"/>
        <v>Low-Risk</v>
      </c>
    </row>
    <row r="522" spans="1:35" x14ac:dyDescent="0.35">
      <c r="A522" t="s">
        <v>1981</v>
      </c>
      <c r="B522" t="s">
        <v>1982</v>
      </c>
      <c r="C522" t="s">
        <v>1983</v>
      </c>
      <c r="D522" s="1">
        <v>44901</v>
      </c>
      <c r="E522" s="1" t="str">
        <f t="shared" si="56"/>
        <v>06</v>
      </c>
      <c r="F522" s="1" t="str">
        <f t="shared" si="57"/>
        <v>Dec</v>
      </c>
      <c r="G522" s="6" t="s">
        <v>23</v>
      </c>
      <c r="H522" s="5">
        <v>9308.69</v>
      </c>
      <c r="I522" s="5" t="str">
        <f>IF(fin_table[[#This Row],[Account Balance]]&lt;20000,"Active", "Not Active")</f>
        <v>Active</v>
      </c>
      <c r="J522" s="5">
        <v>19449.98</v>
      </c>
      <c r="K522" s="5" t="str">
        <f t="shared" si="58"/>
        <v>Medium</v>
      </c>
      <c r="L522" s="6" t="s">
        <v>125</v>
      </c>
      <c r="M522">
        <v>66</v>
      </c>
      <c r="N522" s="6" t="str">
        <f t="shared" si="59"/>
        <v>Seniors</v>
      </c>
      <c r="O522" s="6" t="s">
        <v>42</v>
      </c>
      <c r="P522" s="6" t="s">
        <v>26</v>
      </c>
      <c r="Q522" t="s">
        <v>351</v>
      </c>
      <c r="R522" s="6" t="s">
        <v>52</v>
      </c>
      <c r="S522" s="6" t="s">
        <v>29</v>
      </c>
      <c r="T522" s="14">
        <v>4.2099999999999999E-2</v>
      </c>
      <c r="U522">
        <v>4.21</v>
      </c>
      <c r="V522" t="str">
        <f>IF(fin_table[[#This Row],[Interest Rate(%)]]&gt;4,"high","low")</f>
        <v>high</v>
      </c>
      <c r="W522" s="5">
        <v>26681.654999999999</v>
      </c>
      <c r="X522" s="5">
        <f>fin_table[[#This Row],[Interest Rate]]*fin_table[[#This Row],[Loan Amount]]</f>
        <v>1123.2976755</v>
      </c>
      <c r="Y522">
        <v>13</v>
      </c>
      <c r="Z522" s="3">
        <v>791</v>
      </c>
      <c r="AA522" s="3" t="str">
        <f t="shared" si="60"/>
        <v>Very Good</v>
      </c>
      <c r="AB522" s="3" cm="1">
        <f t="array" ref="AB522">_xlfn.IFS(fin_table[[#This Row],[Transaction Status]]="Failed", 1, fin_table[[#This Row],[Transaction Status]]="Completed",0,fin_table[[#This Row],[Transaction Status]]="Pending",2)</f>
        <v>1</v>
      </c>
      <c r="AC522" s="3" t="str">
        <f>IF(fin_table[[#This Row],[Loan Defaulters]]=1,"Default", "Good")</f>
        <v>Default</v>
      </c>
      <c r="AD522" s="3">
        <f t="shared" si="61"/>
        <v>4</v>
      </c>
      <c r="AE522" s="4">
        <v>5876.56</v>
      </c>
      <c r="AF522" s="4" t="str">
        <f>IF(fin_table[[#This Row],[Monthly Income]]&lt;3000, "Low Income", IF(fin_table[[#This Row],[Monthly Income]]&lt;=5000, "Middle Income", "High Income"))</f>
        <v>High Income</v>
      </c>
      <c r="AG522" t="s">
        <v>45</v>
      </c>
      <c r="AH522" t="s">
        <v>3635</v>
      </c>
      <c r="AI522" t="str">
        <f t="shared" si="62"/>
        <v>Low-Risk</v>
      </c>
    </row>
    <row r="523" spans="1:35" x14ac:dyDescent="0.35">
      <c r="A523" t="s">
        <v>1984</v>
      </c>
      <c r="B523" t="s">
        <v>1985</v>
      </c>
      <c r="C523" t="s">
        <v>1986</v>
      </c>
      <c r="D523" s="1">
        <v>45146</v>
      </c>
      <c r="E523" s="1" t="str">
        <f t="shared" si="56"/>
        <v>08</v>
      </c>
      <c r="F523" s="1" t="str">
        <f t="shared" si="57"/>
        <v>Aug</v>
      </c>
      <c r="G523" s="6" t="s">
        <v>56</v>
      </c>
      <c r="H523" s="5">
        <v>8458.06</v>
      </c>
      <c r="I523" s="5" t="str">
        <f>IF(fin_table[[#This Row],[Account Balance]]&lt;20000,"Active", "Not Active")</f>
        <v>Active</v>
      </c>
      <c r="J523" s="5">
        <v>12370.73</v>
      </c>
      <c r="K523" s="5" t="str">
        <f t="shared" si="58"/>
        <v>Medium</v>
      </c>
      <c r="L523" s="6" t="s">
        <v>100</v>
      </c>
      <c r="M523">
        <v>43</v>
      </c>
      <c r="N523" s="6" t="str">
        <f t="shared" si="59"/>
        <v>Middle-Aged</v>
      </c>
      <c r="O523" s="6" t="s">
        <v>42</v>
      </c>
      <c r="P523" s="6" t="s">
        <v>36</v>
      </c>
      <c r="Q523" t="s">
        <v>1987</v>
      </c>
      <c r="R523" s="6" t="s">
        <v>38</v>
      </c>
      <c r="S523" s="6" t="s">
        <v>62</v>
      </c>
      <c r="T523" s="14">
        <v>1.9599999999999999E-2</v>
      </c>
      <c r="U523">
        <v>1.96</v>
      </c>
      <c r="V523" t="str">
        <f>IF(fin_table[[#This Row],[Interest Rate(%)]]&gt;4,"high","low")</f>
        <v>low</v>
      </c>
      <c r="W523" s="5">
        <v>46871.49</v>
      </c>
      <c r="X523" s="5">
        <f>fin_table[[#This Row],[Interest Rate]]*fin_table[[#This Row],[Loan Amount]]</f>
        <v>918.68120399999998</v>
      </c>
      <c r="Y523">
        <v>13</v>
      </c>
      <c r="Z523" s="3">
        <v>612</v>
      </c>
      <c r="AA523" s="3" t="str">
        <f t="shared" si="60"/>
        <v>Fair</v>
      </c>
      <c r="AB523" s="3" cm="1">
        <f t="array" ref="AB523">_xlfn.IFS(fin_table[[#This Row],[Transaction Status]]="Failed", 1, fin_table[[#This Row],[Transaction Status]]="Completed",0,fin_table[[#This Row],[Transaction Status]]="Pending",2)</f>
        <v>2</v>
      </c>
      <c r="AC523" s="3" t="str">
        <f>IF(fin_table[[#This Row],[Loan Defaulters]]=1,"Default", "Good")</f>
        <v>Good</v>
      </c>
      <c r="AD523" s="3">
        <f t="shared" si="61"/>
        <v>2</v>
      </c>
      <c r="AE523" s="4">
        <v>12986.39</v>
      </c>
      <c r="AF523" s="4" t="str">
        <f>IF(fin_table[[#This Row],[Monthly Income]]&lt;3000, "Low Income", IF(fin_table[[#This Row],[Monthly Income]]&lt;=5000, "Middle Income", "High Income"))</f>
        <v>High Income</v>
      </c>
      <c r="AG523" t="s">
        <v>45</v>
      </c>
      <c r="AH523" t="s">
        <v>3636</v>
      </c>
      <c r="AI523" t="str">
        <f t="shared" si="62"/>
        <v>Low-Risk</v>
      </c>
    </row>
    <row r="524" spans="1:35" x14ac:dyDescent="0.35">
      <c r="A524" t="s">
        <v>1988</v>
      </c>
      <c r="B524" t="s">
        <v>1989</v>
      </c>
      <c r="C524" t="s">
        <v>1990</v>
      </c>
      <c r="D524" s="1">
        <v>44971</v>
      </c>
      <c r="E524" s="1" t="str">
        <f t="shared" si="56"/>
        <v>14</v>
      </c>
      <c r="F524" s="1" t="str">
        <f t="shared" si="57"/>
        <v>Feb</v>
      </c>
      <c r="G524" s="6" t="s">
        <v>34</v>
      </c>
      <c r="H524" s="5">
        <v>6790.89</v>
      </c>
      <c r="I524" s="5" t="str">
        <f>IF(fin_table[[#This Row],[Account Balance]]&lt;20000,"Active", "Not Active")</f>
        <v>Active</v>
      </c>
      <c r="J524" s="5">
        <v>14003.14</v>
      </c>
      <c r="K524" s="5" t="str">
        <f t="shared" si="58"/>
        <v>Medium</v>
      </c>
      <c r="L524" s="6" t="s">
        <v>100</v>
      </c>
      <c r="M524">
        <v>33</v>
      </c>
      <c r="N524" s="6" t="str">
        <f t="shared" si="59"/>
        <v>Adults</v>
      </c>
      <c r="O524" s="6" t="s">
        <v>25</v>
      </c>
      <c r="P524" s="6" t="s">
        <v>26</v>
      </c>
      <c r="Q524" t="s">
        <v>1991</v>
      </c>
      <c r="R524" s="6" t="s">
        <v>28</v>
      </c>
      <c r="S524" s="6" t="s">
        <v>29</v>
      </c>
      <c r="T524" s="14">
        <v>1.17E-2</v>
      </c>
      <c r="U524">
        <v>1.17</v>
      </c>
      <c r="V524" t="str">
        <f>IF(fin_table[[#This Row],[Interest Rate(%)]]&gt;4,"high","low")</f>
        <v>low</v>
      </c>
      <c r="W524" s="5">
        <v>26681.654999999999</v>
      </c>
      <c r="X524" s="5">
        <f>fin_table[[#This Row],[Interest Rate]]*fin_table[[#This Row],[Loan Amount]]</f>
        <v>312.1753635</v>
      </c>
      <c r="Y524">
        <v>7</v>
      </c>
      <c r="Z524" s="3">
        <v>460</v>
      </c>
      <c r="AA524" s="3" t="str">
        <f t="shared" si="60"/>
        <v>Poor</v>
      </c>
      <c r="AB524" s="3" cm="1">
        <f t="array" ref="AB524">_xlfn.IFS(fin_table[[#This Row],[Transaction Status]]="Failed", 1, fin_table[[#This Row],[Transaction Status]]="Completed",0,fin_table[[#This Row],[Transaction Status]]="Pending",2)</f>
        <v>1</v>
      </c>
      <c r="AC524" s="3" t="str">
        <f>IF(fin_table[[#This Row],[Loan Defaulters]]=1,"Default", "Good")</f>
        <v>Default</v>
      </c>
      <c r="AD524" s="3">
        <f t="shared" si="61"/>
        <v>1</v>
      </c>
      <c r="AE524" s="4">
        <v>9828.01</v>
      </c>
      <c r="AF524" s="4" t="str">
        <f>IF(fin_table[[#This Row],[Monthly Income]]&lt;3000, "Low Income", IF(fin_table[[#This Row],[Monthly Income]]&lt;=5000, "Middle Income", "High Income"))</f>
        <v>High Income</v>
      </c>
      <c r="AG524" t="s">
        <v>30</v>
      </c>
      <c r="AH524" t="s">
        <v>3635</v>
      </c>
      <c r="AI524" t="str">
        <f t="shared" si="62"/>
        <v>Low-Risk</v>
      </c>
    </row>
    <row r="525" spans="1:35" x14ac:dyDescent="0.35">
      <c r="A525" t="s">
        <v>1992</v>
      </c>
      <c r="B525" t="s">
        <v>1993</v>
      </c>
      <c r="C525" t="s">
        <v>1994</v>
      </c>
      <c r="D525" s="1">
        <v>44877</v>
      </c>
      <c r="E525" s="1" t="str">
        <f t="shared" si="56"/>
        <v>12</v>
      </c>
      <c r="F525" s="1" t="str">
        <f t="shared" si="57"/>
        <v>Nov</v>
      </c>
      <c r="G525" s="6" t="s">
        <v>56</v>
      </c>
      <c r="H525" s="5">
        <v>1477.25</v>
      </c>
      <c r="I525" s="5" t="str">
        <f>IF(fin_table[[#This Row],[Account Balance]]&lt;20000,"Active", "Not Active")</f>
        <v>Not Active</v>
      </c>
      <c r="J525" s="5">
        <v>28162.54</v>
      </c>
      <c r="K525" s="5" t="str">
        <f t="shared" si="58"/>
        <v>Medium</v>
      </c>
      <c r="L525" s="6" t="s">
        <v>49</v>
      </c>
      <c r="M525">
        <v>64</v>
      </c>
      <c r="N525" s="6" t="str">
        <f t="shared" si="59"/>
        <v>Seniors</v>
      </c>
      <c r="O525" s="6" t="s">
        <v>42</v>
      </c>
      <c r="P525" s="6" t="s">
        <v>50</v>
      </c>
      <c r="Q525" t="s">
        <v>1995</v>
      </c>
      <c r="R525" s="6" t="s">
        <v>38</v>
      </c>
      <c r="S525" s="6" t="s">
        <v>44</v>
      </c>
      <c r="T525" s="14">
        <v>3.5000000000000003E-2</v>
      </c>
      <c r="U525">
        <v>3.5000000000000003E-2</v>
      </c>
      <c r="V525" t="str">
        <f>IF(fin_table[[#This Row],[Interest Rate(%)]]&gt;4,"high","low")</f>
        <v>low</v>
      </c>
      <c r="W525" s="5">
        <v>41045.370000000003</v>
      </c>
      <c r="X525" s="5">
        <f>fin_table[[#This Row],[Interest Rate]]*fin_table[[#This Row],[Loan Amount]]</f>
        <v>1436.5879500000003</v>
      </c>
      <c r="Y525">
        <v>14</v>
      </c>
      <c r="Z525" s="3">
        <v>607</v>
      </c>
      <c r="AA525" s="3" t="str">
        <f t="shared" si="60"/>
        <v>Fair</v>
      </c>
      <c r="AB525" s="3" cm="1">
        <f t="array" ref="AB525">_xlfn.IFS(fin_table[[#This Row],[Transaction Status]]="Failed", 1, fin_table[[#This Row],[Transaction Status]]="Completed",0,fin_table[[#This Row],[Transaction Status]]="Pending",2)</f>
        <v>0</v>
      </c>
      <c r="AC525" s="3" t="str">
        <f>IF(fin_table[[#This Row],[Loan Defaulters]]=1,"Default", "Good")</f>
        <v>Good</v>
      </c>
      <c r="AD525" s="3">
        <f t="shared" si="61"/>
        <v>2</v>
      </c>
      <c r="AE525" s="4">
        <v>7901.13</v>
      </c>
      <c r="AF525" s="4" t="str">
        <f>IF(fin_table[[#This Row],[Monthly Income]]&lt;3000, "Low Income", IF(fin_table[[#This Row],[Monthly Income]]&lt;=5000, "Middle Income", "High Income"))</f>
        <v>High Income</v>
      </c>
      <c r="AG525" t="s">
        <v>45</v>
      </c>
      <c r="AH525" t="s">
        <v>3636</v>
      </c>
      <c r="AI525" t="str">
        <f t="shared" si="62"/>
        <v>Low-Risk</v>
      </c>
    </row>
    <row r="526" spans="1:35" x14ac:dyDescent="0.35">
      <c r="A526" t="s">
        <v>1996</v>
      </c>
      <c r="B526" t="s">
        <v>1997</v>
      </c>
      <c r="C526" t="s">
        <v>1998</v>
      </c>
      <c r="D526" s="1">
        <v>44747</v>
      </c>
      <c r="E526" s="1" t="str">
        <f t="shared" si="56"/>
        <v>05</v>
      </c>
      <c r="F526" s="1" t="str">
        <f t="shared" si="57"/>
        <v>Jul</v>
      </c>
      <c r="G526" s="6" t="s">
        <v>56</v>
      </c>
      <c r="H526" s="5">
        <v>2616.89</v>
      </c>
      <c r="I526" s="5" t="str">
        <f>IF(fin_table[[#This Row],[Account Balance]]&lt;20000,"Active", "Not Active")</f>
        <v>Active</v>
      </c>
      <c r="J526" s="5">
        <v>10775.76</v>
      </c>
      <c r="K526" s="5" t="str">
        <f t="shared" si="58"/>
        <v>Medium</v>
      </c>
      <c r="L526" s="6" t="s">
        <v>125</v>
      </c>
      <c r="M526">
        <v>30</v>
      </c>
      <c r="N526" s="6" t="str">
        <f t="shared" si="59"/>
        <v>Adults</v>
      </c>
      <c r="O526" s="6" t="s">
        <v>25</v>
      </c>
      <c r="P526" s="6" t="s">
        <v>36</v>
      </c>
      <c r="Q526" t="s">
        <v>1999</v>
      </c>
      <c r="R526" s="6" t="s">
        <v>52</v>
      </c>
      <c r="S526" s="6" t="s">
        <v>44</v>
      </c>
      <c r="T526" s="14">
        <v>3.2500000000000001E-2</v>
      </c>
      <c r="U526">
        <v>3.25</v>
      </c>
      <c r="V526" t="str">
        <f>IF(fin_table[[#This Row],[Interest Rate(%)]]&gt;4,"high","low")</f>
        <v>low</v>
      </c>
      <c r="W526" s="5">
        <v>26681.654999999999</v>
      </c>
      <c r="X526" s="5">
        <f>fin_table[[#This Row],[Interest Rate]]*fin_table[[#This Row],[Loan Amount]]</f>
        <v>867.15378750000002</v>
      </c>
      <c r="Y526">
        <v>27</v>
      </c>
      <c r="Z526" s="3">
        <v>445</v>
      </c>
      <c r="AA526" s="3" t="str">
        <f t="shared" si="60"/>
        <v>Poor</v>
      </c>
      <c r="AB526" s="3" cm="1">
        <f t="array" ref="AB526">_xlfn.IFS(fin_table[[#This Row],[Transaction Status]]="Failed", 1, fin_table[[#This Row],[Transaction Status]]="Completed",0,fin_table[[#This Row],[Transaction Status]]="Pending",2)</f>
        <v>0</v>
      </c>
      <c r="AC526" s="3" t="str">
        <f>IF(fin_table[[#This Row],[Loan Defaulters]]=1,"Default", "Good")</f>
        <v>Good</v>
      </c>
      <c r="AD526" s="3">
        <f t="shared" si="61"/>
        <v>1</v>
      </c>
      <c r="AE526" s="4">
        <v>7303.16</v>
      </c>
      <c r="AF526" s="4" t="str">
        <f>IF(fin_table[[#This Row],[Monthly Income]]&lt;3000, "Low Income", IF(fin_table[[#This Row],[Monthly Income]]&lt;=5000, "Middle Income", "High Income"))</f>
        <v>High Income</v>
      </c>
      <c r="AG526" t="s">
        <v>63</v>
      </c>
      <c r="AH526" t="s">
        <v>3635</v>
      </c>
      <c r="AI526" t="str">
        <f t="shared" si="62"/>
        <v>Low-Risk</v>
      </c>
    </row>
    <row r="527" spans="1:35" x14ac:dyDescent="0.35">
      <c r="A527" t="s">
        <v>2000</v>
      </c>
      <c r="B527" t="s">
        <v>2001</v>
      </c>
      <c r="C527" t="s">
        <v>2002</v>
      </c>
      <c r="D527" s="1">
        <v>44895</v>
      </c>
      <c r="E527" s="1" t="str">
        <f t="shared" si="56"/>
        <v>30</v>
      </c>
      <c r="F527" s="1" t="str">
        <f t="shared" si="57"/>
        <v>Nov</v>
      </c>
      <c r="G527" s="6" t="s">
        <v>56</v>
      </c>
      <c r="H527" s="5">
        <v>8767.56</v>
      </c>
      <c r="I527" s="5" t="str">
        <f>IF(fin_table[[#This Row],[Account Balance]]&lt;20000,"Active", "Not Active")</f>
        <v>Active</v>
      </c>
      <c r="J527" s="5">
        <v>15403.51</v>
      </c>
      <c r="K527" s="5" t="str">
        <f t="shared" si="58"/>
        <v>Medium</v>
      </c>
      <c r="L527" s="6" t="s">
        <v>100</v>
      </c>
      <c r="M527">
        <v>32</v>
      </c>
      <c r="N527" s="6" t="str">
        <f t="shared" si="59"/>
        <v>Adults</v>
      </c>
      <c r="O527" s="6" t="s">
        <v>42</v>
      </c>
      <c r="P527" s="6" t="s">
        <v>50</v>
      </c>
      <c r="Q527" t="s">
        <v>2003</v>
      </c>
      <c r="R527" s="6" t="s">
        <v>38</v>
      </c>
      <c r="S527" s="6" t="s">
        <v>29</v>
      </c>
      <c r="T527" s="14">
        <v>2.6100000000000002E-2</v>
      </c>
      <c r="U527">
        <v>2.61</v>
      </c>
      <c r="V527" t="str">
        <f>IF(fin_table[[#This Row],[Interest Rate(%)]]&gt;4,"high","low")</f>
        <v>low</v>
      </c>
      <c r="W527" s="5">
        <v>14548.12</v>
      </c>
      <c r="X527" s="5">
        <f>fin_table[[#This Row],[Interest Rate]]*fin_table[[#This Row],[Loan Amount]]</f>
        <v>379.70593200000002</v>
      </c>
      <c r="Y527">
        <v>13</v>
      </c>
      <c r="Z527" s="3">
        <v>695</v>
      </c>
      <c r="AA527" s="3" t="str">
        <f t="shared" si="60"/>
        <v>Good</v>
      </c>
      <c r="AB527" s="3" cm="1">
        <f t="array" ref="AB527">_xlfn.IFS(fin_table[[#This Row],[Transaction Status]]="Failed", 1, fin_table[[#This Row],[Transaction Status]]="Completed",0,fin_table[[#This Row],[Transaction Status]]="Pending",2)</f>
        <v>1</v>
      </c>
      <c r="AC527" s="3" t="str">
        <f>IF(fin_table[[#This Row],[Loan Defaulters]]=1,"Default", "Good")</f>
        <v>Default</v>
      </c>
      <c r="AD527" s="3">
        <f t="shared" si="61"/>
        <v>3</v>
      </c>
      <c r="AE527" s="4">
        <v>8464.19</v>
      </c>
      <c r="AF527" s="4" t="str">
        <f>IF(fin_table[[#This Row],[Monthly Income]]&lt;3000, "Low Income", IF(fin_table[[#This Row],[Monthly Income]]&lt;=5000, "Middle Income", "High Income"))</f>
        <v>High Income</v>
      </c>
      <c r="AG527" t="s">
        <v>63</v>
      </c>
      <c r="AH527" t="s">
        <v>3636</v>
      </c>
      <c r="AI527" t="str">
        <f t="shared" si="62"/>
        <v>Low-Risk</v>
      </c>
    </row>
    <row r="528" spans="1:35" x14ac:dyDescent="0.35">
      <c r="A528" t="s">
        <v>2004</v>
      </c>
      <c r="B528" t="s">
        <v>2005</v>
      </c>
      <c r="C528" t="s">
        <v>2006</v>
      </c>
      <c r="D528" s="1">
        <v>44601</v>
      </c>
      <c r="E528" s="1" t="str">
        <f t="shared" si="56"/>
        <v>09</v>
      </c>
      <c r="F528" s="1" t="str">
        <f t="shared" si="57"/>
        <v>Feb</v>
      </c>
      <c r="G528" s="6" t="s">
        <v>56</v>
      </c>
      <c r="H528" s="5">
        <v>1909.79</v>
      </c>
      <c r="I528" s="5" t="str">
        <f>IF(fin_table[[#This Row],[Account Balance]]&lt;20000,"Active", "Not Active")</f>
        <v>Active</v>
      </c>
      <c r="J528" s="5">
        <v>12617.15</v>
      </c>
      <c r="K528" s="5" t="str">
        <f t="shared" si="58"/>
        <v>Medium</v>
      </c>
      <c r="L528" s="6" t="s">
        <v>49</v>
      </c>
      <c r="M528">
        <v>44</v>
      </c>
      <c r="N528" s="6" t="str">
        <f t="shared" si="59"/>
        <v>Middle-Aged</v>
      </c>
      <c r="O528" s="6" t="s">
        <v>42</v>
      </c>
      <c r="P528" s="6" t="s">
        <v>36</v>
      </c>
      <c r="Q528" t="s">
        <v>664</v>
      </c>
      <c r="R528" s="6" t="s">
        <v>52</v>
      </c>
      <c r="S528" s="6" t="s">
        <v>62</v>
      </c>
      <c r="T528" s="14">
        <v>3.5799999999999998E-2</v>
      </c>
      <c r="U528">
        <v>3.58</v>
      </c>
      <c r="V528" t="str">
        <f>IF(fin_table[[#This Row],[Interest Rate(%)]]&gt;4,"high","low")</f>
        <v>low</v>
      </c>
      <c r="W528" s="5">
        <v>46005.59</v>
      </c>
      <c r="X528" s="5">
        <f>fin_table[[#This Row],[Interest Rate]]*fin_table[[#This Row],[Loan Amount]]</f>
        <v>1647.0001219999997</v>
      </c>
      <c r="Y528">
        <v>13</v>
      </c>
      <c r="Z528" s="3">
        <v>388</v>
      </c>
      <c r="AA528" s="3" t="str">
        <f t="shared" si="60"/>
        <v>Poor</v>
      </c>
      <c r="AB528" s="3" cm="1">
        <f t="array" ref="AB528">_xlfn.IFS(fin_table[[#This Row],[Transaction Status]]="Failed", 1, fin_table[[#This Row],[Transaction Status]]="Completed",0,fin_table[[#This Row],[Transaction Status]]="Pending",2)</f>
        <v>2</v>
      </c>
      <c r="AC528" s="3" t="str">
        <f>IF(fin_table[[#This Row],[Loan Defaulters]]=1,"Default", "Good")</f>
        <v>Good</v>
      </c>
      <c r="AD528" s="3">
        <f t="shared" si="61"/>
        <v>1</v>
      </c>
      <c r="AE528" s="4">
        <v>2525.6999999999998</v>
      </c>
      <c r="AF528" s="4" t="str">
        <f>IF(fin_table[[#This Row],[Monthly Income]]&lt;3000, "Low Income", IF(fin_table[[#This Row],[Monthly Income]]&lt;=5000, "Middle Income", "High Income"))</f>
        <v>Low Income</v>
      </c>
      <c r="AG528" t="s">
        <v>63</v>
      </c>
      <c r="AH528" t="s">
        <v>3636</v>
      </c>
      <c r="AI528" t="str">
        <f t="shared" si="62"/>
        <v>High-Risk</v>
      </c>
    </row>
    <row r="529" spans="1:35" x14ac:dyDescent="0.35">
      <c r="A529" t="s">
        <v>2007</v>
      </c>
      <c r="B529" t="s">
        <v>2008</v>
      </c>
      <c r="C529" t="s">
        <v>2009</v>
      </c>
      <c r="D529" s="1">
        <v>44762</v>
      </c>
      <c r="E529" s="1" t="str">
        <f t="shared" si="56"/>
        <v>20</v>
      </c>
      <c r="F529" s="1" t="str">
        <f t="shared" si="57"/>
        <v>Jul</v>
      </c>
      <c r="G529" s="6" t="s">
        <v>23</v>
      </c>
      <c r="H529" s="5">
        <v>2856.55</v>
      </c>
      <c r="I529" s="5" t="str">
        <f>IF(fin_table[[#This Row],[Account Balance]]&lt;20000,"Active", "Not Active")</f>
        <v>Not Active</v>
      </c>
      <c r="J529" s="5">
        <v>47476.639999999999</v>
      </c>
      <c r="K529" s="5" t="str">
        <f t="shared" si="58"/>
        <v>Medium</v>
      </c>
      <c r="L529" s="6" t="s">
        <v>24</v>
      </c>
      <c r="M529">
        <v>21</v>
      </c>
      <c r="N529" s="6" t="str">
        <f t="shared" si="59"/>
        <v>Young Adults</v>
      </c>
      <c r="O529" s="6" t="s">
        <v>42</v>
      </c>
      <c r="P529" s="6" t="s">
        <v>26</v>
      </c>
      <c r="Q529" t="s">
        <v>2010</v>
      </c>
      <c r="R529" s="6" t="s">
        <v>28</v>
      </c>
      <c r="S529" s="6" t="s">
        <v>62</v>
      </c>
      <c r="T529" s="14">
        <v>3.2000000000000001E-2</v>
      </c>
      <c r="U529">
        <v>3.2000000000000001E-2</v>
      </c>
      <c r="V529" t="str">
        <f>IF(fin_table[[#This Row],[Interest Rate(%)]]&gt;4,"high","low")</f>
        <v>low</v>
      </c>
      <c r="W529" s="5">
        <v>26681.654999999999</v>
      </c>
      <c r="X529" s="5">
        <f>fin_table[[#This Row],[Interest Rate]]*fin_table[[#This Row],[Loan Amount]]</f>
        <v>853.81295999999998</v>
      </c>
      <c r="Y529">
        <v>13</v>
      </c>
      <c r="Z529" s="3">
        <v>607</v>
      </c>
      <c r="AA529" s="3" t="str">
        <f t="shared" si="60"/>
        <v>Fair</v>
      </c>
      <c r="AB529" s="3" cm="1">
        <f t="array" ref="AB529">_xlfn.IFS(fin_table[[#This Row],[Transaction Status]]="Failed", 1, fin_table[[#This Row],[Transaction Status]]="Completed",0,fin_table[[#This Row],[Transaction Status]]="Pending",2)</f>
        <v>2</v>
      </c>
      <c r="AC529" s="3" t="str">
        <f>IF(fin_table[[#This Row],[Loan Defaulters]]=1,"Default", "Good")</f>
        <v>Good</v>
      </c>
      <c r="AD529" s="3">
        <f t="shared" si="61"/>
        <v>2</v>
      </c>
      <c r="AE529" s="4">
        <v>13606.31</v>
      </c>
      <c r="AF529" s="4" t="str">
        <f>IF(fin_table[[#This Row],[Monthly Income]]&lt;3000, "Low Income", IF(fin_table[[#This Row],[Monthly Income]]&lt;=5000, "Middle Income", "High Income"))</f>
        <v>High Income</v>
      </c>
      <c r="AG529" t="s">
        <v>30</v>
      </c>
      <c r="AH529" t="s">
        <v>3635</v>
      </c>
      <c r="AI529" t="str">
        <f t="shared" si="62"/>
        <v>Low-Risk</v>
      </c>
    </row>
    <row r="530" spans="1:35" x14ac:dyDescent="0.35">
      <c r="A530" t="s">
        <v>2011</v>
      </c>
      <c r="B530" t="s">
        <v>483</v>
      </c>
      <c r="C530" t="s">
        <v>2012</v>
      </c>
      <c r="D530" s="1">
        <v>44817</v>
      </c>
      <c r="E530" s="1" t="str">
        <f t="shared" si="56"/>
        <v>13</v>
      </c>
      <c r="F530" s="1" t="str">
        <f t="shared" si="57"/>
        <v>Sep</v>
      </c>
      <c r="G530" s="6" t="s">
        <v>23</v>
      </c>
      <c r="H530" s="5">
        <v>1383.05</v>
      </c>
      <c r="I530" s="5" t="str">
        <f>IF(fin_table[[#This Row],[Account Balance]]&lt;20000,"Active", "Not Active")</f>
        <v>Not Active</v>
      </c>
      <c r="J530" s="5">
        <v>47288.62</v>
      </c>
      <c r="K530" s="5" t="str">
        <f t="shared" si="58"/>
        <v>Medium</v>
      </c>
      <c r="L530" s="6" t="s">
        <v>49</v>
      </c>
      <c r="M530">
        <v>33</v>
      </c>
      <c r="N530" s="6" t="str">
        <f t="shared" si="59"/>
        <v>Adults</v>
      </c>
      <c r="O530" s="6" t="s">
        <v>25</v>
      </c>
      <c r="P530" s="6" t="s">
        <v>26</v>
      </c>
      <c r="Q530" t="s">
        <v>2013</v>
      </c>
      <c r="R530" s="6" t="s">
        <v>28</v>
      </c>
      <c r="S530" s="6" t="s">
        <v>62</v>
      </c>
      <c r="T530" s="47">
        <v>0.02</v>
      </c>
      <c r="U530">
        <v>0.02</v>
      </c>
      <c r="V530" t="str">
        <f>IF(fin_table[[#This Row],[Interest Rate(%)]]&gt;4,"high","low")</f>
        <v>low</v>
      </c>
      <c r="W530" s="5">
        <v>27390.880000000001</v>
      </c>
      <c r="X530" s="5">
        <f>fin_table[[#This Row],[Interest Rate]]*fin_table[[#This Row],[Loan Amount]]</f>
        <v>547.81760000000008</v>
      </c>
      <c r="Y530">
        <v>1</v>
      </c>
      <c r="Z530" s="3">
        <v>845</v>
      </c>
      <c r="AA530" s="3" t="str">
        <f t="shared" si="60"/>
        <v>Excellent</v>
      </c>
      <c r="AB530" s="3" cm="1">
        <f t="array" ref="AB530">_xlfn.IFS(fin_table[[#This Row],[Transaction Status]]="Failed", 1, fin_table[[#This Row],[Transaction Status]]="Completed",0,fin_table[[#This Row],[Transaction Status]]="Pending",2)</f>
        <v>2</v>
      </c>
      <c r="AC530" s="3" t="str">
        <f>IF(fin_table[[#This Row],[Loan Defaulters]]=1,"Default", "Good")</f>
        <v>Good</v>
      </c>
      <c r="AD530" s="3">
        <f t="shared" si="61"/>
        <v>5</v>
      </c>
      <c r="AE530" s="4">
        <v>14977.94</v>
      </c>
      <c r="AF530" s="4" t="str">
        <f>IF(fin_table[[#This Row],[Monthly Income]]&lt;3000, "Low Income", IF(fin_table[[#This Row],[Monthly Income]]&lt;=5000, "Middle Income", "High Income"))</f>
        <v>High Income</v>
      </c>
      <c r="AG530" t="s">
        <v>45</v>
      </c>
      <c r="AH530" t="s">
        <v>3636</v>
      </c>
      <c r="AI530" t="str">
        <f t="shared" si="62"/>
        <v>Low-Risk</v>
      </c>
    </row>
    <row r="531" spans="1:35" x14ac:dyDescent="0.35">
      <c r="A531" t="s">
        <v>2014</v>
      </c>
      <c r="B531" t="s">
        <v>2015</v>
      </c>
      <c r="C531" t="s">
        <v>2016</v>
      </c>
      <c r="D531" s="1">
        <v>44620</v>
      </c>
      <c r="E531" s="1" t="str">
        <f t="shared" si="56"/>
        <v>28</v>
      </c>
      <c r="F531" s="1" t="str">
        <f t="shared" si="57"/>
        <v>Feb</v>
      </c>
      <c r="G531" s="6" t="s">
        <v>71</v>
      </c>
      <c r="H531" s="5">
        <v>6793.47</v>
      </c>
      <c r="I531" s="5" t="str">
        <f>IF(fin_table[[#This Row],[Account Balance]]&lt;20000,"Active", "Not Active")</f>
        <v>Not Active</v>
      </c>
      <c r="J531" s="5">
        <v>30887.14</v>
      </c>
      <c r="K531" s="5" t="str">
        <f t="shared" si="58"/>
        <v>Medium</v>
      </c>
      <c r="L531" s="6" t="s">
        <v>49</v>
      </c>
      <c r="M531">
        <v>47</v>
      </c>
      <c r="N531" s="6" t="str">
        <f t="shared" si="59"/>
        <v>Older Adults</v>
      </c>
      <c r="O531" s="6" t="s">
        <v>25</v>
      </c>
      <c r="P531" s="6" t="s">
        <v>26</v>
      </c>
      <c r="Q531" t="s">
        <v>2017</v>
      </c>
      <c r="R531" s="6" t="s">
        <v>38</v>
      </c>
      <c r="S531" s="6" t="s">
        <v>29</v>
      </c>
      <c r="T531" s="14">
        <v>2.5899999999999999E-2</v>
      </c>
      <c r="U531">
        <v>2.59</v>
      </c>
      <c r="V531" t="str">
        <f>IF(fin_table[[#This Row],[Interest Rate(%)]]&gt;4,"high","low")</f>
        <v>low</v>
      </c>
      <c r="W531" s="5">
        <v>26681.654999999999</v>
      </c>
      <c r="X531" s="5">
        <f>fin_table[[#This Row],[Interest Rate]]*fin_table[[#This Row],[Loan Amount]]</f>
        <v>691.05486450000001</v>
      </c>
      <c r="Y531">
        <v>20</v>
      </c>
      <c r="Z531" s="3">
        <v>670</v>
      </c>
      <c r="AA531" s="3" t="str">
        <f t="shared" si="60"/>
        <v>Good</v>
      </c>
      <c r="AB531" s="3" cm="1">
        <f t="array" ref="AB531">_xlfn.IFS(fin_table[[#This Row],[Transaction Status]]="Failed", 1, fin_table[[#This Row],[Transaction Status]]="Completed",0,fin_table[[#This Row],[Transaction Status]]="Pending",2)</f>
        <v>1</v>
      </c>
      <c r="AC531" s="3" t="str">
        <f>IF(fin_table[[#This Row],[Loan Defaulters]]=1,"Default", "Good")</f>
        <v>Default</v>
      </c>
      <c r="AD531" s="3">
        <f t="shared" si="61"/>
        <v>3</v>
      </c>
      <c r="AE531" s="4">
        <v>4359.33</v>
      </c>
      <c r="AF531" s="4" t="str">
        <f>IF(fin_table[[#This Row],[Monthly Income]]&lt;3000, "Low Income", IF(fin_table[[#This Row],[Monthly Income]]&lt;=5000, "Middle Income", "High Income"))</f>
        <v>Middle Income</v>
      </c>
      <c r="AG531" t="s">
        <v>45</v>
      </c>
      <c r="AH531" t="s">
        <v>3635</v>
      </c>
      <c r="AI531" t="str">
        <f t="shared" si="62"/>
        <v>Low-Risk</v>
      </c>
    </row>
    <row r="532" spans="1:35" x14ac:dyDescent="0.35">
      <c r="A532" t="s">
        <v>2018</v>
      </c>
      <c r="B532" t="s">
        <v>2019</v>
      </c>
      <c r="C532" t="s">
        <v>2020</v>
      </c>
      <c r="D532" s="1">
        <v>44785</v>
      </c>
      <c r="E532" s="1" t="str">
        <f t="shared" si="56"/>
        <v>12</v>
      </c>
      <c r="F532" s="1" t="str">
        <f t="shared" si="57"/>
        <v>Aug</v>
      </c>
      <c r="G532" s="6" t="s">
        <v>34</v>
      </c>
      <c r="H532" s="5">
        <v>9445.42</v>
      </c>
      <c r="I532" s="5" t="str">
        <f>IF(fin_table[[#This Row],[Account Balance]]&lt;20000,"Active", "Not Active")</f>
        <v>Not Active</v>
      </c>
      <c r="J532" s="5">
        <v>46301.599999999999</v>
      </c>
      <c r="K532" s="5" t="str">
        <f t="shared" si="58"/>
        <v>Medium</v>
      </c>
      <c r="L532" s="6" t="s">
        <v>100</v>
      </c>
      <c r="M532">
        <v>61</v>
      </c>
      <c r="N532" s="6" t="str">
        <f t="shared" si="59"/>
        <v>Seniors</v>
      </c>
      <c r="O532" s="6" t="s">
        <v>42</v>
      </c>
      <c r="P532" s="6" t="s">
        <v>50</v>
      </c>
      <c r="Q532" t="s">
        <v>2021</v>
      </c>
      <c r="R532" s="6" t="s">
        <v>52</v>
      </c>
      <c r="S532" s="6" t="s">
        <v>29</v>
      </c>
      <c r="T532" s="14">
        <v>2.7099999999999999E-2</v>
      </c>
      <c r="U532">
        <v>2.71</v>
      </c>
      <c r="V532" t="str">
        <f>IF(fin_table[[#This Row],[Interest Rate(%)]]&gt;4,"high","low")</f>
        <v>low</v>
      </c>
      <c r="W532" s="5">
        <v>26681.654999999999</v>
      </c>
      <c r="X532" s="5">
        <f>fin_table[[#This Row],[Interest Rate]]*fin_table[[#This Row],[Loan Amount]]</f>
        <v>723.07285049999996</v>
      </c>
      <c r="Y532">
        <v>4</v>
      </c>
      <c r="Z532" s="3">
        <v>750</v>
      </c>
      <c r="AA532" s="3" t="str">
        <f t="shared" si="60"/>
        <v>Very Good</v>
      </c>
      <c r="AB532" s="3" cm="1">
        <f t="array" ref="AB532">_xlfn.IFS(fin_table[[#This Row],[Transaction Status]]="Failed", 1, fin_table[[#This Row],[Transaction Status]]="Completed",0,fin_table[[#This Row],[Transaction Status]]="Pending",2)</f>
        <v>1</v>
      </c>
      <c r="AC532" s="3" t="str">
        <f>IF(fin_table[[#This Row],[Loan Defaulters]]=1,"Default", "Good")</f>
        <v>Default</v>
      </c>
      <c r="AD532" s="3">
        <f t="shared" si="61"/>
        <v>4</v>
      </c>
      <c r="AE532" s="4">
        <v>3564.98</v>
      </c>
      <c r="AF532" s="4" t="str">
        <f>IF(fin_table[[#This Row],[Monthly Income]]&lt;3000, "Low Income", IF(fin_table[[#This Row],[Monthly Income]]&lt;=5000, "Middle Income", "High Income"))</f>
        <v>Middle Income</v>
      </c>
      <c r="AG532" t="s">
        <v>45</v>
      </c>
      <c r="AH532" t="s">
        <v>3635</v>
      </c>
      <c r="AI532" t="str">
        <f t="shared" si="62"/>
        <v>Low-Risk</v>
      </c>
    </row>
    <row r="533" spans="1:35" x14ac:dyDescent="0.35">
      <c r="A533" t="s">
        <v>2022</v>
      </c>
      <c r="B533" t="s">
        <v>2023</v>
      </c>
      <c r="C533" t="s">
        <v>2024</v>
      </c>
      <c r="D533" s="1">
        <v>44862</v>
      </c>
      <c r="E533" s="1" t="str">
        <f t="shared" si="56"/>
        <v>28</v>
      </c>
      <c r="F533" s="1" t="str">
        <f t="shared" si="57"/>
        <v>Oct</v>
      </c>
      <c r="G533" s="6" t="s">
        <v>56</v>
      </c>
      <c r="H533" s="5">
        <v>2762.78</v>
      </c>
      <c r="I533" s="5" t="str">
        <f>IF(fin_table[[#This Row],[Account Balance]]&lt;20000,"Active", "Not Active")</f>
        <v>Not Active</v>
      </c>
      <c r="J533" s="5">
        <v>39504.82</v>
      </c>
      <c r="K533" s="5" t="str">
        <f t="shared" si="58"/>
        <v>Medium</v>
      </c>
      <c r="L533" s="6" t="s">
        <v>35</v>
      </c>
      <c r="M533">
        <v>47</v>
      </c>
      <c r="N533" s="6" t="str">
        <f t="shared" si="59"/>
        <v>Older Adults</v>
      </c>
      <c r="O533" s="6" t="s">
        <v>25</v>
      </c>
      <c r="P533" s="6" t="s">
        <v>36</v>
      </c>
      <c r="Q533" t="s">
        <v>465</v>
      </c>
      <c r="R533" s="6" t="s">
        <v>52</v>
      </c>
      <c r="S533" s="6" t="s">
        <v>44</v>
      </c>
      <c r="T533" s="14">
        <v>4.5199999999999997E-2</v>
      </c>
      <c r="U533">
        <v>4.5199999999999996</v>
      </c>
      <c r="V533" t="str">
        <f>IF(fin_table[[#This Row],[Interest Rate(%)]]&gt;4,"high","low")</f>
        <v>high</v>
      </c>
      <c r="W533" s="5">
        <v>26681.654999999999</v>
      </c>
      <c r="X533" s="5">
        <f>fin_table[[#This Row],[Interest Rate]]*fin_table[[#This Row],[Loan Amount]]</f>
        <v>1206.0108059999998</v>
      </c>
      <c r="Y533">
        <v>1</v>
      </c>
      <c r="Z533" s="3">
        <v>466</v>
      </c>
      <c r="AA533" s="3" t="str">
        <f t="shared" si="60"/>
        <v>Poor</v>
      </c>
      <c r="AB533" s="3" cm="1">
        <f t="array" ref="AB533">_xlfn.IFS(fin_table[[#This Row],[Transaction Status]]="Failed", 1, fin_table[[#This Row],[Transaction Status]]="Completed",0,fin_table[[#This Row],[Transaction Status]]="Pending",2)</f>
        <v>0</v>
      </c>
      <c r="AC533" s="3" t="str">
        <f>IF(fin_table[[#This Row],[Loan Defaulters]]=1,"Default", "Good")</f>
        <v>Good</v>
      </c>
      <c r="AD533" s="3">
        <f t="shared" si="61"/>
        <v>1</v>
      </c>
      <c r="AE533" s="4">
        <v>3866.51</v>
      </c>
      <c r="AF533" s="4" t="str">
        <f>IF(fin_table[[#This Row],[Monthly Income]]&lt;3000, "Low Income", IF(fin_table[[#This Row],[Monthly Income]]&lt;=5000, "Middle Income", "High Income"))</f>
        <v>Middle Income</v>
      </c>
      <c r="AG533" t="s">
        <v>45</v>
      </c>
      <c r="AH533" t="s">
        <v>3635</v>
      </c>
      <c r="AI533" t="str">
        <f t="shared" si="62"/>
        <v>Low-Risk</v>
      </c>
    </row>
    <row r="534" spans="1:35" x14ac:dyDescent="0.35">
      <c r="A534" t="s">
        <v>2025</v>
      </c>
      <c r="B534" t="s">
        <v>2026</v>
      </c>
      <c r="C534" t="s">
        <v>2027</v>
      </c>
      <c r="D534" s="1">
        <v>44874</v>
      </c>
      <c r="E534" s="1" t="str">
        <f t="shared" si="56"/>
        <v>09</v>
      </c>
      <c r="F534" s="1" t="str">
        <f t="shared" si="57"/>
        <v>Nov</v>
      </c>
      <c r="G534" s="6" t="s">
        <v>71</v>
      </c>
      <c r="H534" s="5">
        <v>4806.53</v>
      </c>
      <c r="I534" s="5" t="str">
        <f>IF(fin_table[[#This Row],[Account Balance]]&lt;20000,"Active", "Not Active")</f>
        <v>Not Active</v>
      </c>
      <c r="J534" s="5">
        <v>29907.45</v>
      </c>
      <c r="K534" s="5" t="str">
        <f t="shared" si="58"/>
        <v>Medium</v>
      </c>
      <c r="L534" s="6" t="s">
        <v>35</v>
      </c>
      <c r="M534">
        <v>53</v>
      </c>
      <c r="N534" s="6" t="str">
        <f t="shared" si="59"/>
        <v>Older Adults</v>
      </c>
      <c r="O534" s="6" t="s">
        <v>25</v>
      </c>
      <c r="P534" s="6" t="s">
        <v>50</v>
      </c>
      <c r="Q534" t="s">
        <v>1803</v>
      </c>
      <c r="R534" s="6" t="s">
        <v>52</v>
      </c>
      <c r="S534" s="6" t="s">
        <v>62</v>
      </c>
      <c r="T534" s="14">
        <v>4.8399999999999999E-2</v>
      </c>
      <c r="U534">
        <v>4.84</v>
      </c>
      <c r="V534" t="str">
        <f>IF(fin_table[[#This Row],[Interest Rate(%)]]&gt;4,"high","low")</f>
        <v>high</v>
      </c>
      <c r="W534" s="5">
        <v>6069.95</v>
      </c>
      <c r="X534" s="5">
        <f>fin_table[[#This Row],[Interest Rate]]*fin_table[[#This Row],[Loan Amount]]</f>
        <v>293.78557999999998</v>
      </c>
      <c r="Y534">
        <v>22</v>
      </c>
      <c r="Z534" s="3">
        <v>691</v>
      </c>
      <c r="AA534" s="3" t="str">
        <f t="shared" si="60"/>
        <v>Good</v>
      </c>
      <c r="AB534" s="3" cm="1">
        <f t="array" ref="AB534">_xlfn.IFS(fin_table[[#This Row],[Transaction Status]]="Failed", 1, fin_table[[#This Row],[Transaction Status]]="Completed",0,fin_table[[#This Row],[Transaction Status]]="Pending",2)</f>
        <v>2</v>
      </c>
      <c r="AC534" s="3" t="str">
        <f>IF(fin_table[[#This Row],[Loan Defaulters]]=1,"Default", "Good")</f>
        <v>Good</v>
      </c>
      <c r="AD534" s="3">
        <f t="shared" si="61"/>
        <v>3</v>
      </c>
      <c r="AE534" s="4">
        <v>10593.35</v>
      </c>
      <c r="AF534" s="4" t="str">
        <f>IF(fin_table[[#This Row],[Monthly Income]]&lt;3000, "Low Income", IF(fin_table[[#This Row],[Monthly Income]]&lt;=5000, "Middle Income", "High Income"))</f>
        <v>High Income</v>
      </c>
      <c r="AG534" t="s">
        <v>63</v>
      </c>
      <c r="AH534" t="s">
        <v>3636</v>
      </c>
      <c r="AI534" t="str">
        <f t="shared" si="62"/>
        <v>Low-Risk</v>
      </c>
    </row>
    <row r="535" spans="1:35" x14ac:dyDescent="0.35">
      <c r="A535" t="s">
        <v>2028</v>
      </c>
      <c r="B535" t="s">
        <v>2029</v>
      </c>
      <c r="C535" t="s">
        <v>2030</v>
      </c>
      <c r="D535" s="1">
        <v>44840</v>
      </c>
      <c r="E535" s="1" t="str">
        <f t="shared" si="56"/>
        <v>06</v>
      </c>
      <c r="F535" s="1" t="str">
        <f t="shared" si="57"/>
        <v>Oct</v>
      </c>
      <c r="G535" s="6" t="s">
        <v>71</v>
      </c>
      <c r="H535" s="5">
        <v>6379.96</v>
      </c>
      <c r="I535" s="5" t="str">
        <f>IF(fin_table[[#This Row],[Account Balance]]&lt;20000,"Active", "Not Active")</f>
        <v>Active</v>
      </c>
      <c r="J535" s="5">
        <v>1315.33</v>
      </c>
      <c r="K535" s="5" t="str">
        <f t="shared" si="58"/>
        <v>Low</v>
      </c>
      <c r="L535" s="6" t="s">
        <v>35</v>
      </c>
      <c r="M535">
        <v>20</v>
      </c>
      <c r="N535" s="6" t="str">
        <f t="shared" si="59"/>
        <v>Young Adults</v>
      </c>
      <c r="O535" s="6" t="s">
        <v>42</v>
      </c>
      <c r="P535" s="6" t="s">
        <v>26</v>
      </c>
      <c r="Q535" t="s">
        <v>2031</v>
      </c>
      <c r="R535" s="6" t="s">
        <v>38</v>
      </c>
      <c r="S535" s="6" t="s">
        <v>44</v>
      </c>
      <c r="T535" s="14">
        <v>4.5699999999999998E-2</v>
      </c>
      <c r="U535">
        <v>4.57</v>
      </c>
      <c r="V535" t="str">
        <f>IF(fin_table[[#This Row],[Interest Rate(%)]]&gt;4,"high","low")</f>
        <v>high</v>
      </c>
      <c r="W535" s="5">
        <v>22861.040000000001</v>
      </c>
      <c r="X535" s="5">
        <f>fin_table[[#This Row],[Interest Rate]]*fin_table[[#This Row],[Loan Amount]]</f>
        <v>1044.7495280000001</v>
      </c>
      <c r="Y535">
        <v>10</v>
      </c>
      <c r="Z535" s="3">
        <v>790</v>
      </c>
      <c r="AA535" s="3" t="str">
        <f t="shared" si="60"/>
        <v>Very Good</v>
      </c>
      <c r="AB535" s="3" cm="1">
        <f t="array" ref="AB535">_xlfn.IFS(fin_table[[#This Row],[Transaction Status]]="Failed", 1, fin_table[[#This Row],[Transaction Status]]="Completed",0,fin_table[[#This Row],[Transaction Status]]="Pending",2)</f>
        <v>0</v>
      </c>
      <c r="AC535" s="3" t="str">
        <f>IF(fin_table[[#This Row],[Loan Defaulters]]=1,"Default", "Good")</f>
        <v>Good</v>
      </c>
      <c r="AD535" s="3">
        <f t="shared" si="61"/>
        <v>4</v>
      </c>
      <c r="AE535" s="4">
        <v>10598.73</v>
      </c>
      <c r="AF535" s="4" t="str">
        <f>IF(fin_table[[#This Row],[Monthly Income]]&lt;3000, "Low Income", IF(fin_table[[#This Row],[Monthly Income]]&lt;=5000, "Middle Income", "High Income"))</f>
        <v>High Income</v>
      </c>
      <c r="AG535" t="s">
        <v>30</v>
      </c>
      <c r="AH535" t="s">
        <v>3636</v>
      </c>
      <c r="AI535" t="str">
        <f t="shared" si="62"/>
        <v>Low-Risk</v>
      </c>
    </row>
    <row r="536" spans="1:35" x14ac:dyDescent="0.35">
      <c r="A536" t="s">
        <v>2032</v>
      </c>
      <c r="B536" t="s">
        <v>2033</v>
      </c>
      <c r="C536" t="s">
        <v>2034</v>
      </c>
      <c r="D536" s="1">
        <v>44874</v>
      </c>
      <c r="E536" s="1" t="str">
        <f t="shared" si="56"/>
        <v>09</v>
      </c>
      <c r="F536" s="1" t="str">
        <f t="shared" si="57"/>
        <v>Nov</v>
      </c>
      <c r="G536" s="6" t="s">
        <v>71</v>
      </c>
      <c r="H536" s="5">
        <v>9994.7199999999993</v>
      </c>
      <c r="I536" s="5" t="str">
        <f>IF(fin_table[[#This Row],[Account Balance]]&lt;20000,"Active", "Not Active")</f>
        <v>Not Active</v>
      </c>
      <c r="J536" s="5">
        <v>38853.300000000003</v>
      </c>
      <c r="K536" s="5" t="str">
        <f t="shared" si="58"/>
        <v>Medium</v>
      </c>
      <c r="L536" s="6" t="s">
        <v>49</v>
      </c>
      <c r="M536">
        <v>39</v>
      </c>
      <c r="N536" s="6" t="str">
        <f t="shared" si="59"/>
        <v>Middle-Aged</v>
      </c>
      <c r="O536" s="6" t="s">
        <v>25</v>
      </c>
      <c r="P536" s="6" t="s">
        <v>50</v>
      </c>
      <c r="Q536" t="s">
        <v>2035</v>
      </c>
      <c r="R536" s="6" t="s">
        <v>52</v>
      </c>
      <c r="S536" s="6" t="s">
        <v>44</v>
      </c>
      <c r="T536" s="14">
        <v>3.8800000000000001E-2</v>
      </c>
      <c r="U536">
        <v>3.88</v>
      </c>
      <c r="V536" t="str">
        <f>IF(fin_table[[#This Row],[Interest Rate(%)]]&gt;4,"high","low")</f>
        <v>low</v>
      </c>
      <c r="W536" s="5">
        <v>18651.650000000001</v>
      </c>
      <c r="X536" s="5">
        <f>fin_table[[#This Row],[Interest Rate]]*fin_table[[#This Row],[Loan Amount]]</f>
        <v>723.68402000000003</v>
      </c>
      <c r="Y536">
        <v>13</v>
      </c>
      <c r="Z536" s="3">
        <v>449</v>
      </c>
      <c r="AA536" s="3" t="str">
        <f t="shared" si="60"/>
        <v>Poor</v>
      </c>
      <c r="AB536" s="3" cm="1">
        <f t="array" ref="AB536">_xlfn.IFS(fin_table[[#This Row],[Transaction Status]]="Failed", 1, fin_table[[#This Row],[Transaction Status]]="Completed",0,fin_table[[#This Row],[Transaction Status]]="Pending",2)</f>
        <v>0</v>
      </c>
      <c r="AC536" s="3" t="str">
        <f>IF(fin_table[[#This Row],[Loan Defaulters]]=1,"Default", "Good")</f>
        <v>Good</v>
      </c>
      <c r="AD536" s="3">
        <f t="shared" si="61"/>
        <v>1</v>
      </c>
      <c r="AE536" s="4">
        <v>13023.01</v>
      </c>
      <c r="AF536" s="4" t="str">
        <f>IF(fin_table[[#This Row],[Monthly Income]]&lt;3000, "Low Income", IF(fin_table[[#This Row],[Monthly Income]]&lt;=5000, "Middle Income", "High Income"))</f>
        <v>High Income</v>
      </c>
      <c r="AG536" t="s">
        <v>63</v>
      </c>
      <c r="AH536" t="s">
        <v>3636</v>
      </c>
      <c r="AI536" t="str">
        <f t="shared" si="62"/>
        <v>Low-Risk</v>
      </c>
    </row>
    <row r="537" spans="1:35" x14ac:dyDescent="0.35">
      <c r="A537" t="s">
        <v>2036</v>
      </c>
      <c r="B537" t="s">
        <v>2037</v>
      </c>
      <c r="C537" t="s">
        <v>2038</v>
      </c>
      <c r="D537" s="1">
        <v>44780</v>
      </c>
      <c r="E537" s="1" t="str">
        <f t="shared" si="56"/>
        <v>07</v>
      </c>
      <c r="F537" s="1" t="str">
        <f t="shared" si="57"/>
        <v>Aug</v>
      </c>
      <c r="G537" s="6" t="s">
        <v>23</v>
      </c>
      <c r="H537" s="5">
        <v>1137.5999999999999</v>
      </c>
      <c r="I537" s="5" t="str">
        <f>IF(fin_table[[#This Row],[Account Balance]]&lt;20000,"Active", "Not Active")</f>
        <v>Not Active</v>
      </c>
      <c r="J537" s="5">
        <v>35421.93</v>
      </c>
      <c r="K537" s="5" t="str">
        <f t="shared" si="58"/>
        <v>Medium</v>
      </c>
      <c r="L537" s="6" t="s">
        <v>100</v>
      </c>
      <c r="M537">
        <v>66</v>
      </c>
      <c r="N537" s="6" t="str">
        <f t="shared" si="59"/>
        <v>Seniors</v>
      </c>
      <c r="O537" s="6" t="s">
        <v>42</v>
      </c>
      <c r="P537" s="6" t="s">
        <v>26</v>
      </c>
      <c r="Q537" t="s">
        <v>2039</v>
      </c>
      <c r="R537" s="6" t="s">
        <v>52</v>
      </c>
      <c r="S537" s="6" t="s">
        <v>62</v>
      </c>
      <c r="T537" s="14">
        <v>3.3399999999999999E-2</v>
      </c>
      <c r="U537">
        <v>3.34</v>
      </c>
      <c r="V537" t="str">
        <f>IF(fin_table[[#This Row],[Interest Rate(%)]]&gt;4,"high","low")</f>
        <v>low</v>
      </c>
      <c r="W537" s="5">
        <v>26681.654999999999</v>
      </c>
      <c r="X537" s="5">
        <f>fin_table[[#This Row],[Interest Rate]]*fin_table[[#This Row],[Loan Amount]]</f>
        <v>891.1672769999999</v>
      </c>
      <c r="Y537">
        <v>13</v>
      </c>
      <c r="Z537" s="3">
        <v>767</v>
      </c>
      <c r="AA537" s="3" t="str">
        <f t="shared" si="60"/>
        <v>Very Good</v>
      </c>
      <c r="AB537" s="3" cm="1">
        <f t="array" ref="AB537">_xlfn.IFS(fin_table[[#This Row],[Transaction Status]]="Failed", 1, fin_table[[#This Row],[Transaction Status]]="Completed",0,fin_table[[#This Row],[Transaction Status]]="Pending",2)</f>
        <v>2</v>
      </c>
      <c r="AC537" s="3" t="str">
        <f>IF(fin_table[[#This Row],[Loan Defaulters]]=1,"Default", "Good")</f>
        <v>Good</v>
      </c>
      <c r="AD537" s="3">
        <f t="shared" si="61"/>
        <v>4</v>
      </c>
      <c r="AE537" s="4">
        <v>11773.74</v>
      </c>
      <c r="AF537" s="4" t="str">
        <f>IF(fin_table[[#This Row],[Monthly Income]]&lt;3000, "Low Income", IF(fin_table[[#This Row],[Monthly Income]]&lt;=5000, "Middle Income", "High Income"))</f>
        <v>High Income</v>
      </c>
      <c r="AG537" t="s">
        <v>63</v>
      </c>
      <c r="AH537" t="s">
        <v>3635</v>
      </c>
      <c r="AI537" t="str">
        <f t="shared" si="62"/>
        <v>Low-Risk</v>
      </c>
    </row>
    <row r="538" spans="1:35" x14ac:dyDescent="0.35">
      <c r="A538" t="s">
        <v>2040</v>
      </c>
      <c r="B538" t="s">
        <v>2041</v>
      </c>
      <c r="C538" t="s">
        <v>2042</v>
      </c>
      <c r="D538" s="1">
        <v>44621</v>
      </c>
      <c r="E538" s="1" t="str">
        <f t="shared" si="56"/>
        <v>01</v>
      </c>
      <c r="F538" s="1" t="str">
        <f t="shared" si="57"/>
        <v>Mar</v>
      </c>
      <c r="G538" s="6" t="s">
        <v>56</v>
      </c>
      <c r="H538" s="5">
        <v>5035.8500000000004</v>
      </c>
      <c r="I538" s="5" t="str">
        <f>IF(fin_table[[#This Row],[Account Balance]]&lt;20000,"Active", "Not Active")</f>
        <v>Not Active</v>
      </c>
      <c r="J538" s="5">
        <v>31147.43</v>
      </c>
      <c r="K538" s="5" t="str">
        <f t="shared" si="58"/>
        <v>Medium</v>
      </c>
      <c r="L538" s="6" t="s">
        <v>125</v>
      </c>
      <c r="M538">
        <v>39</v>
      </c>
      <c r="N538" s="6" t="str">
        <f t="shared" si="59"/>
        <v>Middle-Aged</v>
      </c>
      <c r="O538" s="6" t="s">
        <v>42</v>
      </c>
      <c r="P538" s="6" t="s">
        <v>26</v>
      </c>
      <c r="Q538" t="s">
        <v>406</v>
      </c>
      <c r="R538" s="6" t="s">
        <v>52</v>
      </c>
      <c r="S538" s="6" t="s">
        <v>29</v>
      </c>
      <c r="T538" s="14">
        <v>3.7600000000000001E-2</v>
      </c>
      <c r="U538">
        <v>3.76</v>
      </c>
      <c r="V538" t="str">
        <f>IF(fin_table[[#This Row],[Interest Rate(%)]]&gt;4,"high","low")</f>
        <v>low</v>
      </c>
      <c r="W538" s="5">
        <v>7501.04</v>
      </c>
      <c r="X538" s="5">
        <f>fin_table[[#This Row],[Interest Rate]]*fin_table[[#This Row],[Loan Amount]]</f>
        <v>282.03910400000001</v>
      </c>
      <c r="Y538">
        <v>13</v>
      </c>
      <c r="Z538" s="3">
        <v>342</v>
      </c>
      <c r="AA538" s="3" t="str">
        <f t="shared" si="60"/>
        <v>Poor</v>
      </c>
      <c r="AB538" s="3" cm="1">
        <f t="array" ref="AB538">_xlfn.IFS(fin_table[[#This Row],[Transaction Status]]="Failed", 1, fin_table[[#This Row],[Transaction Status]]="Completed",0,fin_table[[#This Row],[Transaction Status]]="Pending",2)</f>
        <v>1</v>
      </c>
      <c r="AC538" s="3" t="str">
        <f>IF(fin_table[[#This Row],[Loan Defaulters]]=1,"Default", "Good")</f>
        <v>Default</v>
      </c>
      <c r="AD538" s="3">
        <f t="shared" si="61"/>
        <v>1</v>
      </c>
      <c r="AE538" s="4">
        <v>7845.97</v>
      </c>
      <c r="AF538" s="4" t="str">
        <f>IF(fin_table[[#This Row],[Monthly Income]]&lt;3000, "Low Income", IF(fin_table[[#This Row],[Monthly Income]]&lt;=5000, "Middle Income", "High Income"))</f>
        <v>High Income</v>
      </c>
      <c r="AG538" t="s">
        <v>30</v>
      </c>
      <c r="AH538" t="s">
        <v>3636</v>
      </c>
      <c r="AI538" t="str">
        <f t="shared" si="62"/>
        <v>Low-Risk</v>
      </c>
    </row>
    <row r="539" spans="1:35" x14ac:dyDescent="0.35">
      <c r="A539" t="s">
        <v>2043</v>
      </c>
      <c r="B539" t="s">
        <v>2044</v>
      </c>
      <c r="C539" t="s">
        <v>2045</v>
      </c>
      <c r="D539" s="1">
        <v>45114</v>
      </c>
      <c r="E539" s="1" t="str">
        <f t="shared" si="56"/>
        <v>07</v>
      </c>
      <c r="F539" s="1" t="str">
        <f t="shared" si="57"/>
        <v>Jul</v>
      </c>
      <c r="G539" s="6" t="s">
        <v>56</v>
      </c>
      <c r="H539" s="5">
        <v>3912.69</v>
      </c>
      <c r="I539" s="5" t="str">
        <f>IF(fin_table[[#This Row],[Account Balance]]&lt;20000,"Active", "Not Active")</f>
        <v>Not Active</v>
      </c>
      <c r="J539" s="5">
        <v>38260.79</v>
      </c>
      <c r="K539" s="5" t="str">
        <f t="shared" si="58"/>
        <v>Medium</v>
      </c>
      <c r="L539" s="6" t="s">
        <v>49</v>
      </c>
      <c r="M539">
        <v>67</v>
      </c>
      <c r="N539" s="6" t="str">
        <f t="shared" si="59"/>
        <v>Seniors</v>
      </c>
      <c r="O539" s="6" t="s">
        <v>42</v>
      </c>
      <c r="P539" s="6" t="s">
        <v>26</v>
      </c>
      <c r="Q539" t="s">
        <v>1520</v>
      </c>
      <c r="R539" s="6" t="s">
        <v>52</v>
      </c>
      <c r="S539" s="6" t="s">
        <v>29</v>
      </c>
      <c r="T539" s="14">
        <v>4.7600000000000003E-2</v>
      </c>
      <c r="U539">
        <v>4.76</v>
      </c>
      <c r="V539" t="str">
        <f>IF(fin_table[[#This Row],[Interest Rate(%)]]&gt;4,"high","low")</f>
        <v>high</v>
      </c>
      <c r="W539" s="5">
        <v>26992.91</v>
      </c>
      <c r="X539" s="5">
        <f>fin_table[[#This Row],[Interest Rate]]*fin_table[[#This Row],[Loan Amount]]</f>
        <v>1284.8625160000001</v>
      </c>
      <c r="Y539">
        <v>24</v>
      </c>
      <c r="Z539" s="3">
        <v>328</v>
      </c>
      <c r="AA539" s="3" t="str">
        <f t="shared" si="60"/>
        <v>Poor</v>
      </c>
      <c r="AB539" s="3" cm="1">
        <f t="array" ref="AB539">_xlfn.IFS(fin_table[[#This Row],[Transaction Status]]="Failed", 1, fin_table[[#This Row],[Transaction Status]]="Completed",0,fin_table[[#This Row],[Transaction Status]]="Pending",2)</f>
        <v>1</v>
      </c>
      <c r="AC539" s="3" t="str">
        <f>IF(fin_table[[#This Row],[Loan Defaulters]]=1,"Default", "Good")</f>
        <v>Default</v>
      </c>
      <c r="AD539" s="3">
        <f t="shared" si="61"/>
        <v>1</v>
      </c>
      <c r="AE539" s="4">
        <v>9967.1200000000008</v>
      </c>
      <c r="AF539" s="4" t="str">
        <f>IF(fin_table[[#This Row],[Monthly Income]]&lt;3000, "Low Income", IF(fin_table[[#This Row],[Monthly Income]]&lt;=5000, "Middle Income", "High Income"))</f>
        <v>High Income</v>
      </c>
      <c r="AG539" t="s">
        <v>30</v>
      </c>
      <c r="AH539" t="s">
        <v>3636</v>
      </c>
      <c r="AI539" t="str">
        <f t="shared" si="62"/>
        <v>Low-Risk</v>
      </c>
    </row>
    <row r="540" spans="1:35" x14ac:dyDescent="0.35">
      <c r="A540" t="s">
        <v>2046</v>
      </c>
      <c r="B540" t="s">
        <v>2047</v>
      </c>
      <c r="C540" t="s">
        <v>2048</v>
      </c>
      <c r="D540" s="1">
        <v>44638</v>
      </c>
      <c r="E540" s="1" t="str">
        <f t="shared" si="56"/>
        <v>18</v>
      </c>
      <c r="F540" s="1" t="str">
        <f t="shared" si="57"/>
        <v>Mar</v>
      </c>
      <c r="G540" s="6" t="s">
        <v>34</v>
      </c>
      <c r="H540" s="5">
        <v>8671.6200000000008</v>
      </c>
      <c r="I540" s="5" t="str">
        <f>IF(fin_table[[#This Row],[Account Balance]]&lt;20000,"Active", "Not Active")</f>
        <v>Not Active</v>
      </c>
      <c r="J540" s="5">
        <v>26133.19</v>
      </c>
      <c r="K540" s="5" t="str">
        <f t="shared" si="58"/>
        <v>Medium</v>
      </c>
      <c r="L540" s="6" t="s">
        <v>49</v>
      </c>
      <c r="M540">
        <v>67</v>
      </c>
      <c r="N540" s="6" t="str">
        <f t="shared" si="59"/>
        <v>Seniors</v>
      </c>
      <c r="O540" s="6" t="s">
        <v>25</v>
      </c>
      <c r="P540" s="6" t="s">
        <v>36</v>
      </c>
      <c r="Q540" t="s">
        <v>1649</v>
      </c>
      <c r="R540" s="6" t="s">
        <v>38</v>
      </c>
      <c r="S540" s="6" t="s">
        <v>44</v>
      </c>
      <c r="T540" s="47">
        <v>0.02</v>
      </c>
      <c r="U540">
        <v>0.02</v>
      </c>
      <c r="V540" t="str">
        <f>IF(fin_table[[#This Row],[Interest Rate(%)]]&gt;4,"high","low")</f>
        <v>low</v>
      </c>
      <c r="W540" s="5">
        <v>31060.14</v>
      </c>
      <c r="X540" s="5">
        <f>fin_table[[#This Row],[Interest Rate]]*fin_table[[#This Row],[Loan Amount]]</f>
        <v>621.20280000000002</v>
      </c>
      <c r="Y540">
        <v>13</v>
      </c>
      <c r="Z540" s="3">
        <v>330</v>
      </c>
      <c r="AA540" s="3" t="str">
        <f t="shared" si="60"/>
        <v>Poor</v>
      </c>
      <c r="AB540" s="3" cm="1">
        <f t="array" ref="AB540">_xlfn.IFS(fin_table[[#This Row],[Transaction Status]]="Failed", 1, fin_table[[#This Row],[Transaction Status]]="Completed",0,fin_table[[#This Row],[Transaction Status]]="Pending",2)</f>
        <v>0</v>
      </c>
      <c r="AC540" s="3" t="str">
        <f>IF(fin_table[[#This Row],[Loan Defaulters]]=1,"Default", "Good")</f>
        <v>Good</v>
      </c>
      <c r="AD540" s="3">
        <f t="shared" si="61"/>
        <v>1</v>
      </c>
      <c r="AE540" s="4">
        <v>10947.7</v>
      </c>
      <c r="AF540" s="4" t="str">
        <f>IF(fin_table[[#This Row],[Monthly Income]]&lt;3000, "Low Income", IF(fin_table[[#This Row],[Monthly Income]]&lt;=5000, "Middle Income", "High Income"))</f>
        <v>High Income</v>
      </c>
      <c r="AG540" t="s">
        <v>63</v>
      </c>
      <c r="AH540" t="s">
        <v>3636</v>
      </c>
      <c r="AI540" t="str">
        <f t="shared" si="62"/>
        <v>Low-Risk</v>
      </c>
    </row>
    <row r="541" spans="1:35" x14ac:dyDescent="0.35">
      <c r="A541" t="s">
        <v>2049</v>
      </c>
      <c r="B541" t="s">
        <v>2050</v>
      </c>
      <c r="C541" t="s">
        <v>2051</v>
      </c>
      <c r="D541" s="1">
        <v>44880</v>
      </c>
      <c r="E541" s="1" t="str">
        <f t="shared" si="56"/>
        <v>15</v>
      </c>
      <c r="F541" s="1" t="str">
        <f t="shared" si="57"/>
        <v>Nov</v>
      </c>
      <c r="G541" s="6" t="s">
        <v>56</v>
      </c>
      <c r="H541" s="5">
        <v>4812.08</v>
      </c>
      <c r="I541" s="5" t="str">
        <f>IF(fin_table[[#This Row],[Account Balance]]&lt;20000,"Active", "Not Active")</f>
        <v>Not Active</v>
      </c>
      <c r="J541" s="5">
        <v>35500.080000000002</v>
      </c>
      <c r="K541" s="5" t="str">
        <f t="shared" si="58"/>
        <v>Medium</v>
      </c>
      <c r="L541" s="6" t="s">
        <v>100</v>
      </c>
      <c r="M541">
        <v>66</v>
      </c>
      <c r="N541" s="6" t="str">
        <f t="shared" si="59"/>
        <v>Seniors</v>
      </c>
      <c r="O541" s="6" t="s">
        <v>42</v>
      </c>
      <c r="P541" s="6" t="s">
        <v>36</v>
      </c>
      <c r="Q541" t="s">
        <v>233</v>
      </c>
      <c r="R541" s="6" t="s">
        <v>38</v>
      </c>
      <c r="S541" s="6" t="s">
        <v>44</v>
      </c>
      <c r="T541" s="14">
        <v>3.1399999999999997E-2</v>
      </c>
      <c r="U541">
        <v>3.14</v>
      </c>
      <c r="V541" t="str">
        <f>IF(fin_table[[#This Row],[Interest Rate(%)]]&gt;4,"high","low")</f>
        <v>low</v>
      </c>
      <c r="W541" s="5">
        <v>32778.1</v>
      </c>
      <c r="X541" s="5">
        <f>fin_table[[#This Row],[Interest Rate]]*fin_table[[#This Row],[Loan Amount]]</f>
        <v>1029.2323399999998</v>
      </c>
      <c r="Y541">
        <v>13</v>
      </c>
      <c r="Z541" s="3">
        <v>427</v>
      </c>
      <c r="AA541" s="3" t="str">
        <f t="shared" si="60"/>
        <v>Poor</v>
      </c>
      <c r="AB541" s="3" cm="1">
        <f t="array" ref="AB541">_xlfn.IFS(fin_table[[#This Row],[Transaction Status]]="Failed", 1, fin_table[[#This Row],[Transaction Status]]="Completed",0,fin_table[[#This Row],[Transaction Status]]="Pending",2)</f>
        <v>0</v>
      </c>
      <c r="AC541" s="3" t="str">
        <f>IF(fin_table[[#This Row],[Loan Defaulters]]=1,"Default", "Good")</f>
        <v>Good</v>
      </c>
      <c r="AD541" s="3">
        <f t="shared" si="61"/>
        <v>1</v>
      </c>
      <c r="AE541" s="4">
        <v>8665.57</v>
      </c>
      <c r="AF541" s="4" t="str">
        <f>IF(fin_table[[#This Row],[Monthly Income]]&lt;3000, "Low Income", IF(fin_table[[#This Row],[Monthly Income]]&lt;=5000, "Middle Income", "High Income"))</f>
        <v>High Income</v>
      </c>
      <c r="AG541" t="s">
        <v>45</v>
      </c>
      <c r="AH541" t="s">
        <v>3636</v>
      </c>
      <c r="AI541" t="str">
        <f t="shared" si="62"/>
        <v>Low-Risk</v>
      </c>
    </row>
    <row r="542" spans="1:35" x14ac:dyDescent="0.35">
      <c r="A542" t="s">
        <v>2052</v>
      </c>
      <c r="B542" t="s">
        <v>2053</v>
      </c>
      <c r="C542" t="s">
        <v>2054</v>
      </c>
      <c r="D542" s="1">
        <v>45126</v>
      </c>
      <c r="E542" s="1" t="str">
        <f t="shared" si="56"/>
        <v>19</v>
      </c>
      <c r="F542" s="1" t="str">
        <f t="shared" si="57"/>
        <v>Jul</v>
      </c>
      <c r="G542" s="6" t="s">
        <v>56</v>
      </c>
      <c r="H542" s="5">
        <v>1198.68</v>
      </c>
      <c r="I542" s="5" t="str">
        <f>IF(fin_table[[#This Row],[Account Balance]]&lt;20000,"Active", "Not Active")</f>
        <v>Not Active</v>
      </c>
      <c r="J542" s="5">
        <v>46823.43</v>
      </c>
      <c r="K542" s="5" t="str">
        <f t="shared" si="58"/>
        <v>Medium</v>
      </c>
      <c r="L542" s="6" t="s">
        <v>24</v>
      </c>
      <c r="M542">
        <v>29</v>
      </c>
      <c r="N542" s="6" t="str">
        <f t="shared" si="59"/>
        <v>Adults</v>
      </c>
      <c r="O542" s="6" t="s">
        <v>42</v>
      </c>
      <c r="P542" s="6" t="s">
        <v>26</v>
      </c>
      <c r="Q542" t="s">
        <v>2055</v>
      </c>
      <c r="R542" s="6" t="s">
        <v>52</v>
      </c>
      <c r="S542" s="6" t="s">
        <v>44</v>
      </c>
      <c r="T542" s="14">
        <v>3.7600000000000001E-2</v>
      </c>
      <c r="U542">
        <v>3.76</v>
      </c>
      <c r="V542" t="str">
        <f>IF(fin_table[[#This Row],[Interest Rate(%)]]&gt;4,"high","low")</f>
        <v>low</v>
      </c>
      <c r="W542" s="5">
        <v>26681.654999999999</v>
      </c>
      <c r="X542" s="5">
        <f>fin_table[[#This Row],[Interest Rate]]*fin_table[[#This Row],[Loan Amount]]</f>
        <v>1003.230228</v>
      </c>
      <c r="Y542">
        <v>13</v>
      </c>
      <c r="Z542" s="3">
        <v>593</v>
      </c>
      <c r="AA542" s="3" t="str">
        <f t="shared" si="60"/>
        <v>Fair</v>
      </c>
      <c r="AB542" s="3" cm="1">
        <f t="array" ref="AB542">_xlfn.IFS(fin_table[[#This Row],[Transaction Status]]="Failed", 1, fin_table[[#This Row],[Transaction Status]]="Completed",0,fin_table[[#This Row],[Transaction Status]]="Pending",2)</f>
        <v>0</v>
      </c>
      <c r="AC542" s="3" t="str">
        <f>IF(fin_table[[#This Row],[Loan Defaulters]]=1,"Default", "Good")</f>
        <v>Good</v>
      </c>
      <c r="AD542" s="3">
        <f t="shared" si="61"/>
        <v>2</v>
      </c>
      <c r="AE542" s="4">
        <v>8183.46</v>
      </c>
      <c r="AF542" s="4" t="str">
        <f>IF(fin_table[[#This Row],[Monthly Income]]&lt;3000, "Low Income", IF(fin_table[[#This Row],[Monthly Income]]&lt;=5000, "Middle Income", "High Income"))</f>
        <v>High Income</v>
      </c>
      <c r="AG542" t="s">
        <v>30</v>
      </c>
      <c r="AH542" t="s">
        <v>3635</v>
      </c>
      <c r="AI542" t="str">
        <f t="shared" si="62"/>
        <v>Low-Risk</v>
      </c>
    </row>
    <row r="543" spans="1:35" x14ac:dyDescent="0.35">
      <c r="A543" t="s">
        <v>2056</v>
      </c>
      <c r="B543" t="s">
        <v>2057</v>
      </c>
      <c r="C543" t="s">
        <v>2058</v>
      </c>
      <c r="D543" s="1">
        <v>44779</v>
      </c>
      <c r="E543" s="1" t="str">
        <f t="shared" si="56"/>
        <v>06</v>
      </c>
      <c r="F543" s="1" t="str">
        <f t="shared" si="57"/>
        <v>Aug</v>
      </c>
      <c r="G543" s="6" t="s">
        <v>71</v>
      </c>
      <c r="H543" s="5">
        <v>6380.8</v>
      </c>
      <c r="I543" s="5" t="str">
        <f>IF(fin_table[[#This Row],[Account Balance]]&lt;20000,"Active", "Not Active")</f>
        <v>Active</v>
      </c>
      <c r="J543" s="5">
        <v>19414.45</v>
      </c>
      <c r="K543" s="5" t="str">
        <f t="shared" si="58"/>
        <v>Medium</v>
      </c>
      <c r="L543" s="6" t="s">
        <v>49</v>
      </c>
      <c r="M543">
        <v>38</v>
      </c>
      <c r="N543" s="6" t="str">
        <f t="shared" si="59"/>
        <v>Middle-Aged</v>
      </c>
      <c r="O543" s="6" t="s">
        <v>25</v>
      </c>
      <c r="P543" s="6" t="s">
        <v>50</v>
      </c>
      <c r="Q543" t="s">
        <v>2059</v>
      </c>
      <c r="R543" s="6" t="s">
        <v>52</v>
      </c>
      <c r="S543" s="6" t="s">
        <v>44</v>
      </c>
      <c r="T543" s="14">
        <v>3.7199999999999997E-2</v>
      </c>
      <c r="U543">
        <v>3.72</v>
      </c>
      <c r="V543" t="str">
        <f>IF(fin_table[[#This Row],[Interest Rate(%)]]&gt;4,"high","low")</f>
        <v>low</v>
      </c>
      <c r="W543" s="5">
        <v>18696.55</v>
      </c>
      <c r="X543" s="5">
        <f>fin_table[[#This Row],[Interest Rate]]*fin_table[[#This Row],[Loan Amount]]</f>
        <v>695.51165999999989</v>
      </c>
      <c r="Y543">
        <v>23</v>
      </c>
      <c r="Z543" s="3">
        <v>740</v>
      </c>
      <c r="AA543" s="3" t="str">
        <f t="shared" si="60"/>
        <v>Very Good</v>
      </c>
      <c r="AB543" s="3" cm="1">
        <f t="array" ref="AB543">_xlfn.IFS(fin_table[[#This Row],[Transaction Status]]="Failed", 1, fin_table[[#This Row],[Transaction Status]]="Completed",0,fin_table[[#This Row],[Transaction Status]]="Pending",2)</f>
        <v>0</v>
      </c>
      <c r="AC543" s="3" t="str">
        <f>IF(fin_table[[#This Row],[Loan Defaulters]]=1,"Default", "Good")</f>
        <v>Good</v>
      </c>
      <c r="AD543" s="3">
        <f t="shared" si="61"/>
        <v>4</v>
      </c>
      <c r="AE543" s="4">
        <v>10386.27</v>
      </c>
      <c r="AF543" s="4" t="str">
        <f>IF(fin_table[[#This Row],[Monthly Income]]&lt;3000, "Low Income", IF(fin_table[[#This Row],[Monthly Income]]&lt;=5000, "Middle Income", "High Income"))</f>
        <v>High Income</v>
      </c>
      <c r="AG543" t="s">
        <v>30</v>
      </c>
      <c r="AH543" t="s">
        <v>3636</v>
      </c>
      <c r="AI543" t="str">
        <f t="shared" si="62"/>
        <v>Low-Risk</v>
      </c>
    </row>
    <row r="544" spans="1:35" x14ac:dyDescent="0.35">
      <c r="A544" t="s">
        <v>2060</v>
      </c>
      <c r="B544" t="s">
        <v>2061</v>
      </c>
      <c r="C544" t="s">
        <v>2062</v>
      </c>
      <c r="D544" s="1">
        <v>45112</v>
      </c>
      <c r="E544" s="1" t="str">
        <f t="shared" si="56"/>
        <v>05</v>
      </c>
      <c r="F544" s="1" t="str">
        <f t="shared" si="57"/>
        <v>Jul</v>
      </c>
      <c r="G544" s="6" t="s">
        <v>34</v>
      </c>
      <c r="H544" s="5">
        <v>7730.73</v>
      </c>
      <c r="I544" s="5" t="str">
        <f>IF(fin_table[[#This Row],[Account Balance]]&lt;20000,"Active", "Not Active")</f>
        <v>Not Active</v>
      </c>
      <c r="J544" s="5">
        <v>35697.97</v>
      </c>
      <c r="K544" s="5" t="str">
        <f t="shared" si="58"/>
        <v>Medium</v>
      </c>
      <c r="L544" s="6" t="s">
        <v>24</v>
      </c>
      <c r="M544">
        <v>21</v>
      </c>
      <c r="N544" s="6" t="str">
        <f t="shared" si="59"/>
        <v>Young Adults</v>
      </c>
      <c r="O544" s="6" t="s">
        <v>25</v>
      </c>
      <c r="P544" s="6" t="s">
        <v>50</v>
      </c>
      <c r="Q544" t="s">
        <v>2063</v>
      </c>
      <c r="R544" s="6" t="s">
        <v>28</v>
      </c>
      <c r="S544" s="6" t="s">
        <v>62</v>
      </c>
      <c r="T544" s="14">
        <v>2.01E-2</v>
      </c>
      <c r="U544">
        <v>2.0099999999999998</v>
      </c>
      <c r="V544" t="str">
        <f>IF(fin_table[[#This Row],[Interest Rate(%)]]&gt;4,"high","low")</f>
        <v>low</v>
      </c>
      <c r="W544" s="5">
        <v>26681.654999999999</v>
      </c>
      <c r="X544" s="5">
        <f>fin_table[[#This Row],[Interest Rate]]*fin_table[[#This Row],[Loan Amount]]</f>
        <v>536.3012655</v>
      </c>
      <c r="Y544">
        <v>9</v>
      </c>
      <c r="Z544" s="3">
        <v>687</v>
      </c>
      <c r="AA544" s="3" t="str">
        <f t="shared" si="60"/>
        <v>Good</v>
      </c>
      <c r="AB544" s="3" cm="1">
        <f t="array" ref="AB544">_xlfn.IFS(fin_table[[#This Row],[Transaction Status]]="Failed", 1, fin_table[[#This Row],[Transaction Status]]="Completed",0,fin_table[[#This Row],[Transaction Status]]="Pending",2)</f>
        <v>2</v>
      </c>
      <c r="AC544" s="3" t="str">
        <f>IF(fin_table[[#This Row],[Loan Defaulters]]=1,"Default", "Good")</f>
        <v>Good</v>
      </c>
      <c r="AD544" s="3">
        <f t="shared" si="61"/>
        <v>3</v>
      </c>
      <c r="AE544" s="4">
        <v>9247.17</v>
      </c>
      <c r="AF544" s="4" t="str">
        <f>IF(fin_table[[#This Row],[Monthly Income]]&lt;3000, "Low Income", IF(fin_table[[#This Row],[Monthly Income]]&lt;=5000, "Middle Income", "High Income"))</f>
        <v>High Income</v>
      </c>
      <c r="AG544" t="s">
        <v>63</v>
      </c>
      <c r="AH544" t="s">
        <v>3635</v>
      </c>
      <c r="AI544" t="str">
        <f t="shared" si="62"/>
        <v>Low-Risk</v>
      </c>
    </row>
    <row r="545" spans="1:35" x14ac:dyDescent="0.35">
      <c r="A545" t="s">
        <v>2064</v>
      </c>
      <c r="B545" t="s">
        <v>2065</v>
      </c>
      <c r="C545" t="s">
        <v>2066</v>
      </c>
      <c r="D545" s="1">
        <v>44933</v>
      </c>
      <c r="E545" s="1" t="str">
        <f t="shared" si="56"/>
        <v>07</v>
      </c>
      <c r="F545" s="1" t="str">
        <f t="shared" si="57"/>
        <v>Jan</v>
      </c>
      <c r="G545" s="6" t="s">
        <v>56</v>
      </c>
      <c r="H545" s="5">
        <v>128.52000000000001</v>
      </c>
      <c r="I545" s="5" t="str">
        <f>IF(fin_table[[#This Row],[Account Balance]]&lt;20000,"Active", "Not Active")</f>
        <v>Not Active</v>
      </c>
      <c r="J545" s="5">
        <v>24308.7</v>
      </c>
      <c r="K545" s="5" t="str">
        <f t="shared" si="58"/>
        <v>Medium</v>
      </c>
      <c r="L545" s="6" t="s">
        <v>24</v>
      </c>
      <c r="M545">
        <v>48</v>
      </c>
      <c r="N545" s="6" t="str">
        <f t="shared" si="59"/>
        <v>Older Adults</v>
      </c>
      <c r="O545" s="6" t="s">
        <v>25</v>
      </c>
      <c r="P545" s="6" t="s">
        <v>36</v>
      </c>
      <c r="Q545" t="s">
        <v>2067</v>
      </c>
      <c r="R545" s="6" t="s">
        <v>28</v>
      </c>
      <c r="S545" s="6" t="s">
        <v>44</v>
      </c>
      <c r="T545" s="14">
        <v>3.3500000000000002E-2</v>
      </c>
      <c r="U545">
        <v>3.35</v>
      </c>
      <c r="V545" t="str">
        <f>IF(fin_table[[#This Row],[Interest Rate(%)]]&gt;4,"high","low")</f>
        <v>low</v>
      </c>
      <c r="W545" s="5">
        <v>26681.654999999999</v>
      </c>
      <c r="X545" s="5">
        <f>fin_table[[#This Row],[Interest Rate]]*fin_table[[#This Row],[Loan Amount]]</f>
        <v>893.8354425</v>
      </c>
      <c r="Y545">
        <v>13</v>
      </c>
      <c r="Z545" s="3">
        <v>823</v>
      </c>
      <c r="AA545" s="3" t="str">
        <f t="shared" si="60"/>
        <v>Excellent</v>
      </c>
      <c r="AB545" s="3" cm="1">
        <f t="array" ref="AB545">_xlfn.IFS(fin_table[[#This Row],[Transaction Status]]="Failed", 1, fin_table[[#This Row],[Transaction Status]]="Completed",0,fin_table[[#This Row],[Transaction Status]]="Pending",2)</f>
        <v>0</v>
      </c>
      <c r="AC545" s="3" t="str">
        <f>IF(fin_table[[#This Row],[Loan Defaulters]]=1,"Default", "Good")</f>
        <v>Good</v>
      </c>
      <c r="AD545" s="3">
        <f t="shared" si="61"/>
        <v>5</v>
      </c>
      <c r="AE545" s="4">
        <v>10371.25</v>
      </c>
      <c r="AF545" s="4" t="str">
        <f>IF(fin_table[[#This Row],[Monthly Income]]&lt;3000, "Low Income", IF(fin_table[[#This Row],[Monthly Income]]&lt;=5000, "Middle Income", "High Income"))</f>
        <v>High Income</v>
      </c>
      <c r="AG545" t="s">
        <v>45</v>
      </c>
      <c r="AH545" t="s">
        <v>3635</v>
      </c>
      <c r="AI545" t="str">
        <f t="shared" si="62"/>
        <v>Low-Risk</v>
      </c>
    </row>
    <row r="546" spans="1:35" x14ac:dyDescent="0.35">
      <c r="A546" t="s">
        <v>2068</v>
      </c>
      <c r="B546" t="s">
        <v>2069</v>
      </c>
      <c r="C546" t="s">
        <v>2070</v>
      </c>
      <c r="D546" s="1">
        <v>44700</v>
      </c>
      <c r="E546" s="1" t="str">
        <f t="shared" si="56"/>
        <v>19</v>
      </c>
      <c r="F546" s="1" t="str">
        <f t="shared" si="57"/>
        <v>May</v>
      </c>
      <c r="G546" s="6" t="s">
        <v>23</v>
      </c>
      <c r="H546" s="5">
        <v>8603.67</v>
      </c>
      <c r="I546" s="5" t="str">
        <f>IF(fin_table[[#This Row],[Account Balance]]&lt;20000,"Active", "Not Active")</f>
        <v>Not Active</v>
      </c>
      <c r="J546" s="5">
        <v>34045.58</v>
      </c>
      <c r="K546" s="5" t="str">
        <f t="shared" si="58"/>
        <v>Medium</v>
      </c>
      <c r="L546" s="6" t="s">
        <v>35</v>
      </c>
      <c r="M546">
        <v>61</v>
      </c>
      <c r="N546" s="6" t="str">
        <f t="shared" si="59"/>
        <v>Seniors</v>
      </c>
      <c r="O546" s="6" t="s">
        <v>25</v>
      </c>
      <c r="P546" s="6" t="s">
        <v>26</v>
      </c>
      <c r="Q546" t="s">
        <v>117</v>
      </c>
      <c r="R546" s="6" t="s">
        <v>52</v>
      </c>
      <c r="S546" s="6" t="s">
        <v>44</v>
      </c>
      <c r="T546" s="14">
        <v>4.1799999999999997E-2</v>
      </c>
      <c r="U546">
        <v>4.18</v>
      </c>
      <c r="V546" t="str">
        <f>IF(fin_table[[#This Row],[Interest Rate(%)]]&gt;4,"high","low")</f>
        <v>high</v>
      </c>
      <c r="W546" s="5">
        <v>26681.654999999999</v>
      </c>
      <c r="X546" s="5">
        <f>fin_table[[#This Row],[Interest Rate]]*fin_table[[#This Row],[Loan Amount]]</f>
        <v>1115.2931789999998</v>
      </c>
      <c r="Y546">
        <v>21</v>
      </c>
      <c r="Z546" s="3">
        <v>846</v>
      </c>
      <c r="AA546" s="3" t="str">
        <f t="shared" si="60"/>
        <v>Excellent</v>
      </c>
      <c r="AB546" s="3" cm="1">
        <f t="array" ref="AB546">_xlfn.IFS(fin_table[[#This Row],[Transaction Status]]="Failed", 1, fin_table[[#This Row],[Transaction Status]]="Completed",0,fin_table[[#This Row],[Transaction Status]]="Pending",2)</f>
        <v>0</v>
      </c>
      <c r="AC546" s="3" t="str">
        <f>IF(fin_table[[#This Row],[Loan Defaulters]]=1,"Default", "Good")</f>
        <v>Good</v>
      </c>
      <c r="AD546" s="3">
        <f t="shared" si="61"/>
        <v>5</v>
      </c>
      <c r="AE546" s="4">
        <v>9967.11</v>
      </c>
      <c r="AF546" s="4" t="str">
        <f>IF(fin_table[[#This Row],[Monthly Income]]&lt;3000, "Low Income", IF(fin_table[[#This Row],[Monthly Income]]&lt;=5000, "Middle Income", "High Income"))</f>
        <v>High Income</v>
      </c>
      <c r="AG546" t="s">
        <v>30</v>
      </c>
      <c r="AH546" t="s">
        <v>3635</v>
      </c>
      <c r="AI546" t="str">
        <f t="shared" si="62"/>
        <v>Low-Risk</v>
      </c>
    </row>
    <row r="547" spans="1:35" x14ac:dyDescent="0.35">
      <c r="A547" t="s">
        <v>2071</v>
      </c>
      <c r="B547" t="s">
        <v>2072</v>
      </c>
      <c r="C547" t="s">
        <v>2073</v>
      </c>
      <c r="D547" s="1">
        <v>44937</v>
      </c>
      <c r="E547" s="1" t="str">
        <f t="shared" si="56"/>
        <v>11</v>
      </c>
      <c r="F547" s="1" t="str">
        <f t="shared" si="57"/>
        <v>Jan</v>
      </c>
      <c r="G547" s="6" t="s">
        <v>56</v>
      </c>
      <c r="H547" s="5">
        <v>1941.63</v>
      </c>
      <c r="I547" s="5" t="str">
        <f>IF(fin_table[[#This Row],[Account Balance]]&lt;20000,"Active", "Not Active")</f>
        <v>Not Active</v>
      </c>
      <c r="J547" s="5">
        <v>38381.769999999997</v>
      </c>
      <c r="K547" s="5" t="str">
        <f t="shared" si="58"/>
        <v>Medium</v>
      </c>
      <c r="L547" s="6" t="s">
        <v>100</v>
      </c>
      <c r="M547">
        <v>48</v>
      </c>
      <c r="N547" s="6" t="str">
        <f t="shared" si="59"/>
        <v>Older Adults</v>
      </c>
      <c r="O547" s="6" t="s">
        <v>42</v>
      </c>
      <c r="P547" s="6" t="s">
        <v>50</v>
      </c>
      <c r="Q547" t="s">
        <v>2074</v>
      </c>
      <c r="R547" s="6" t="s">
        <v>52</v>
      </c>
      <c r="S547" s="6" t="s">
        <v>29</v>
      </c>
      <c r="T547" s="14">
        <v>2.9000000000000001E-2</v>
      </c>
      <c r="U547">
        <v>2.9000000000000001E-2</v>
      </c>
      <c r="V547" t="str">
        <f>IF(fin_table[[#This Row],[Interest Rate(%)]]&gt;4,"high","low")</f>
        <v>low</v>
      </c>
      <c r="W547" s="5">
        <v>26681.654999999999</v>
      </c>
      <c r="X547" s="5">
        <f>fin_table[[#This Row],[Interest Rate]]*fin_table[[#This Row],[Loan Amount]]</f>
        <v>773.76799500000004</v>
      </c>
      <c r="Y547">
        <v>28</v>
      </c>
      <c r="Z547" s="3">
        <v>409</v>
      </c>
      <c r="AA547" s="3" t="str">
        <f t="shared" si="60"/>
        <v>Poor</v>
      </c>
      <c r="AB547" s="3" cm="1">
        <f t="array" ref="AB547">_xlfn.IFS(fin_table[[#This Row],[Transaction Status]]="Failed", 1, fin_table[[#This Row],[Transaction Status]]="Completed",0,fin_table[[#This Row],[Transaction Status]]="Pending",2)</f>
        <v>1</v>
      </c>
      <c r="AC547" s="3" t="str">
        <f>IF(fin_table[[#This Row],[Loan Defaulters]]=1,"Default", "Good")</f>
        <v>Default</v>
      </c>
      <c r="AD547" s="3">
        <f t="shared" si="61"/>
        <v>1</v>
      </c>
      <c r="AE547" s="4">
        <v>11349.56</v>
      </c>
      <c r="AF547" s="4" t="str">
        <f>IF(fin_table[[#This Row],[Monthly Income]]&lt;3000, "Low Income", IF(fin_table[[#This Row],[Monthly Income]]&lt;=5000, "Middle Income", "High Income"))</f>
        <v>High Income</v>
      </c>
      <c r="AG547" t="s">
        <v>63</v>
      </c>
      <c r="AH547" t="s">
        <v>3635</v>
      </c>
      <c r="AI547" t="str">
        <f t="shared" si="62"/>
        <v>Low-Risk</v>
      </c>
    </row>
    <row r="548" spans="1:35" x14ac:dyDescent="0.35">
      <c r="A548" t="s">
        <v>2075</v>
      </c>
      <c r="B548" t="s">
        <v>572</v>
      </c>
      <c r="C548" t="s">
        <v>2076</v>
      </c>
      <c r="D548" s="1">
        <v>45092</v>
      </c>
      <c r="E548" s="1" t="str">
        <f t="shared" si="56"/>
        <v>15</v>
      </c>
      <c r="F548" s="1" t="str">
        <f t="shared" si="57"/>
        <v>Jun</v>
      </c>
      <c r="G548" s="6" t="s">
        <v>71</v>
      </c>
      <c r="H548" s="5">
        <v>5565.49</v>
      </c>
      <c r="I548" s="5" t="str">
        <f>IF(fin_table[[#This Row],[Account Balance]]&lt;20000,"Active", "Not Active")</f>
        <v>Active</v>
      </c>
      <c r="J548" s="5">
        <v>3227.17</v>
      </c>
      <c r="K548" s="5" t="str">
        <f t="shared" si="58"/>
        <v>Low</v>
      </c>
      <c r="L548" s="6" t="s">
        <v>24</v>
      </c>
      <c r="M548">
        <v>40</v>
      </c>
      <c r="N548" s="6" t="str">
        <f t="shared" si="59"/>
        <v>Middle-Aged</v>
      </c>
      <c r="O548" s="6" t="s">
        <v>25</v>
      </c>
      <c r="P548" s="6" t="s">
        <v>26</v>
      </c>
      <c r="Q548" t="s">
        <v>1132</v>
      </c>
      <c r="R548" s="6" t="s">
        <v>28</v>
      </c>
      <c r="S548" s="6" t="s">
        <v>29</v>
      </c>
      <c r="T548" s="14">
        <v>4.1700000000000001E-2</v>
      </c>
      <c r="U548">
        <v>4.17</v>
      </c>
      <c r="V548" t="str">
        <f>IF(fin_table[[#This Row],[Interest Rate(%)]]&gt;4,"high","low")</f>
        <v>high</v>
      </c>
      <c r="W548" s="5">
        <v>37276.86</v>
      </c>
      <c r="X548" s="5">
        <f>fin_table[[#This Row],[Interest Rate]]*fin_table[[#This Row],[Loan Amount]]</f>
        <v>1554.445062</v>
      </c>
      <c r="Y548">
        <v>13</v>
      </c>
      <c r="Z548" s="3">
        <v>627</v>
      </c>
      <c r="AA548" s="3" t="str">
        <f t="shared" si="60"/>
        <v>Fair</v>
      </c>
      <c r="AB548" s="3" cm="1">
        <f t="array" ref="AB548">_xlfn.IFS(fin_table[[#This Row],[Transaction Status]]="Failed", 1, fin_table[[#This Row],[Transaction Status]]="Completed",0,fin_table[[#This Row],[Transaction Status]]="Pending",2)</f>
        <v>1</v>
      </c>
      <c r="AC548" s="3" t="str">
        <f>IF(fin_table[[#This Row],[Loan Defaulters]]=1,"Default", "Good")</f>
        <v>Default</v>
      </c>
      <c r="AD548" s="3">
        <f t="shared" si="61"/>
        <v>2</v>
      </c>
      <c r="AE548" s="4">
        <v>10356.450000000001</v>
      </c>
      <c r="AF548" s="4" t="str">
        <f>IF(fin_table[[#This Row],[Monthly Income]]&lt;3000, "Low Income", IF(fin_table[[#This Row],[Monthly Income]]&lt;=5000, "Middle Income", "High Income"))</f>
        <v>High Income</v>
      </c>
      <c r="AG548" t="s">
        <v>30</v>
      </c>
      <c r="AH548" t="s">
        <v>3636</v>
      </c>
      <c r="AI548" t="str">
        <f t="shared" si="62"/>
        <v>Low-Risk</v>
      </c>
    </row>
    <row r="549" spans="1:35" x14ac:dyDescent="0.35">
      <c r="A549" t="s">
        <v>2077</v>
      </c>
      <c r="B549" t="s">
        <v>2078</v>
      </c>
      <c r="C549" t="s">
        <v>2079</v>
      </c>
      <c r="D549" s="1">
        <v>44786</v>
      </c>
      <c r="E549" s="1" t="str">
        <f t="shared" si="56"/>
        <v>13</v>
      </c>
      <c r="F549" s="1" t="str">
        <f t="shared" si="57"/>
        <v>Aug</v>
      </c>
      <c r="G549" s="6" t="s">
        <v>23</v>
      </c>
      <c r="H549" s="5">
        <v>4216.3999999999996</v>
      </c>
      <c r="I549" s="5" t="str">
        <f>IF(fin_table[[#This Row],[Account Balance]]&lt;20000,"Active", "Not Active")</f>
        <v>Not Active</v>
      </c>
      <c r="J549" s="5">
        <v>32683.42</v>
      </c>
      <c r="K549" s="5" t="str">
        <f t="shared" si="58"/>
        <v>Medium</v>
      </c>
      <c r="L549" s="6" t="s">
        <v>100</v>
      </c>
      <c r="M549">
        <v>37</v>
      </c>
      <c r="N549" s="6" t="str">
        <f t="shared" si="59"/>
        <v>Middle-Aged</v>
      </c>
      <c r="O549" s="6" t="s">
        <v>25</v>
      </c>
      <c r="P549" s="6" t="s">
        <v>50</v>
      </c>
      <c r="Q549" t="s">
        <v>2080</v>
      </c>
      <c r="R549" s="6" t="s">
        <v>28</v>
      </c>
      <c r="S549" s="6" t="s">
        <v>29</v>
      </c>
      <c r="T549" s="14">
        <v>2.4400000000000002E-2</v>
      </c>
      <c r="U549">
        <v>2.44</v>
      </c>
      <c r="V549" t="str">
        <f>IF(fin_table[[#This Row],[Interest Rate(%)]]&gt;4,"high","low")</f>
        <v>low</v>
      </c>
      <c r="W549" s="5">
        <v>39407.839999999997</v>
      </c>
      <c r="X549" s="5">
        <f>fin_table[[#This Row],[Interest Rate]]*fin_table[[#This Row],[Loan Amount]]</f>
        <v>961.55129599999998</v>
      </c>
      <c r="Y549">
        <v>3</v>
      </c>
      <c r="Z549" s="3">
        <v>704</v>
      </c>
      <c r="AA549" s="3" t="str">
        <f t="shared" si="60"/>
        <v>Good</v>
      </c>
      <c r="AB549" s="3" cm="1">
        <f t="array" ref="AB549">_xlfn.IFS(fin_table[[#This Row],[Transaction Status]]="Failed", 1, fin_table[[#This Row],[Transaction Status]]="Completed",0,fin_table[[#This Row],[Transaction Status]]="Pending",2)</f>
        <v>1</v>
      </c>
      <c r="AC549" s="3" t="str">
        <f>IF(fin_table[[#This Row],[Loan Defaulters]]=1,"Default", "Good")</f>
        <v>Default</v>
      </c>
      <c r="AD549" s="3">
        <f t="shared" si="61"/>
        <v>3</v>
      </c>
      <c r="AE549" s="4">
        <v>8756.65</v>
      </c>
      <c r="AF549" s="4" t="str">
        <f>IF(fin_table[[#This Row],[Monthly Income]]&lt;3000, "Low Income", IF(fin_table[[#This Row],[Monthly Income]]&lt;=5000, "Middle Income", "High Income"))</f>
        <v>High Income</v>
      </c>
      <c r="AG549" t="s">
        <v>45</v>
      </c>
      <c r="AH549" t="s">
        <v>3636</v>
      </c>
      <c r="AI549" t="str">
        <f t="shared" si="62"/>
        <v>Low-Risk</v>
      </c>
    </row>
    <row r="550" spans="1:35" x14ac:dyDescent="0.35">
      <c r="A550" t="s">
        <v>2081</v>
      </c>
      <c r="B550" t="s">
        <v>2082</v>
      </c>
      <c r="C550" t="s">
        <v>2083</v>
      </c>
      <c r="D550" s="1">
        <v>44828</v>
      </c>
      <c r="E550" s="1" t="str">
        <f t="shared" si="56"/>
        <v>24</v>
      </c>
      <c r="F550" s="1" t="str">
        <f t="shared" si="57"/>
        <v>Sep</v>
      </c>
      <c r="G550" s="6" t="s">
        <v>71</v>
      </c>
      <c r="H550" s="5">
        <v>7224.57</v>
      </c>
      <c r="I550" s="5" t="str">
        <f>IF(fin_table[[#This Row],[Account Balance]]&lt;20000,"Active", "Not Active")</f>
        <v>Active</v>
      </c>
      <c r="J550" s="5">
        <v>12110.32</v>
      </c>
      <c r="K550" s="5" t="str">
        <f t="shared" si="58"/>
        <v>Medium</v>
      </c>
      <c r="L550" s="6" t="s">
        <v>35</v>
      </c>
      <c r="M550">
        <v>32</v>
      </c>
      <c r="N550" s="6" t="str">
        <f t="shared" si="59"/>
        <v>Adults</v>
      </c>
      <c r="O550" s="6" t="s">
        <v>25</v>
      </c>
      <c r="P550" s="6" t="s">
        <v>36</v>
      </c>
      <c r="Q550" t="s">
        <v>1660</v>
      </c>
      <c r="R550" s="6" t="s">
        <v>52</v>
      </c>
      <c r="S550" s="6" t="s">
        <v>62</v>
      </c>
      <c r="T550" s="14">
        <v>4.7600000000000003E-2</v>
      </c>
      <c r="U550">
        <v>4.76</v>
      </c>
      <c r="V550" t="str">
        <f>IF(fin_table[[#This Row],[Interest Rate(%)]]&gt;4,"high","low")</f>
        <v>high</v>
      </c>
      <c r="W550" s="5">
        <v>12555.64</v>
      </c>
      <c r="X550" s="5">
        <f>fin_table[[#This Row],[Interest Rate]]*fin_table[[#This Row],[Loan Amount]]</f>
        <v>597.64846399999999</v>
      </c>
      <c r="Y550">
        <v>13</v>
      </c>
      <c r="Z550" s="3">
        <v>544</v>
      </c>
      <c r="AA550" s="3" t="str">
        <f t="shared" si="60"/>
        <v>Poor</v>
      </c>
      <c r="AB550" s="3" cm="1">
        <f t="array" ref="AB550">_xlfn.IFS(fin_table[[#This Row],[Transaction Status]]="Failed", 1, fin_table[[#This Row],[Transaction Status]]="Completed",0,fin_table[[#This Row],[Transaction Status]]="Pending",2)</f>
        <v>2</v>
      </c>
      <c r="AC550" s="3" t="str">
        <f>IF(fin_table[[#This Row],[Loan Defaulters]]=1,"Default", "Good")</f>
        <v>Good</v>
      </c>
      <c r="AD550" s="3">
        <f t="shared" si="61"/>
        <v>1</v>
      </c>
      <c r="AE550" s="4">
        <v>10863.36</v>
      </c>
      <c r="AF550" s="4" t="str">
        <f>IF(fin_table[[#This Row],[Monthly Income]]&lt;3000, "Low Income", IF(fin_table[[#This Row],[Monthly Income]]&lt;=5000, "Middle Income", "High Income"))</f>
        <v>High Income</v>
      </c>
      <c r="AG550" t="s">
        <v>63</v>
      </c>
      <c r="AH550" t="s">
        <v>3636</v>
      </c>
      <c r="AI550" t="str">
        <f t="shared" si="62"/>
        <v>Low-Risk</v>
      </c>
    </row>
    <row r="551" spans="1:35" x14ac:dyDescent="0.35">
      <c r="A551" t="s">
        <v>2084</v>
      </c>
      <c r="B551" t="s">
        <v>2085</v>
      </c>
      <c r="C551" t="s">
        <v>2086</v>
      </c>
      <c r="D551" s="1">
        <v>45107</v>
      </c>
      <c r="E551" s="1" t="str">
        <f t="shared" si="56"/>
        <v>30</v>
      </c>
      <c r="F551" s="1" t="str">
        <f t="shared" si="57"/>
        <v>Jun</v>
      </c>
      <c r="G551" s="6" t="s">
        <v>56</v>
      </c>
      <c r="H551" s="5">
        <v>3774.5</v>
      </c>
      <c r="I551" s="5" t="str">
        <f>IF(fin_table[[#This Row],[Account Balance]]&lt;20000,"Active", "Not Active")</f>
        <v>Not Active</v>
      </c>
      <c r="J551" s="5">
        <v>33831.589999999997</v>
      </c>
      <c r="K551" s="5" t="str">
        <f t="shared" si="58"/>
        <v>Medium</v>
      </c>
      <c r="L551" s="6" t="s">
        <v>100</v>
      </c>
      <c r="M551">
        <v>40</v>
      </c>
      <c r="N551" s="6" t="str">
        <f t="shared" si="59"/>
        <v>Middle-Aged</v>
      </c>
      <c r="O551" s="6" t="s">
        <v>25</v>
      </c>
      <c r="P551" s="6" t="s">
        <v>26</v>
      </c>
      <c r="Q551" t="s">
        <v>2087</v>
      </c>
      <c r="R551" s="6" t="s">
        <v>38</v>
      </c>
      <c r="S551" s="6" t="s">
        <v>62</v>
      </c>
      <c r="T551" s="14">
        <v>3.1399999999999997E-2</v>
      </c>
      <c r="U551">
        <v>3.14</v>
      </c>
      <c r="V551" t="str">
        <f>IF(fin_table[[#This Row],[Interest Rate(%)]]&gt;4,"high","low")</f>
        <v>low</v>
      </c>
      <c r="W551" s="5">
        <v>26681.654999999999</v>
      </c>
      <c r="X551" s="5">
        <f>fin_table[[#This Row],[Interest Rate]]*fin_table[[#This Row],[Loan Amount]]</f>
        <v>837.80396699999994</v>
      </c>
      <c r="Y551">
        <v>4</v>
      </c>
      <c r="Z551" s="3">
        <v>462</v>
      </c>
      <c r="AA551" s="3" t="str">
        <f t="shared" si="60"/>
        <v>Poor</v>
      </c>
      <c r="AB551" s="3" cm="1">
        <f t="array" ref="AB551">_xlfn.IFS(fin_table[[#This Row],[Transaction Status]]="Failed", 1, fin_table[[#This Row],[Transaction Status]]="Completed",0,fin_table[[#This Row],[Transaction Status]]="Pending",2)</f>
        <v>2</v>
      </c>
      <c r="AC551" s="3" t="str">
        <f>IF(fin_table[[#This Row],[Loan Defaulters]]=1,"Default", "Good")</f>
        <v>Good</v>
      </c>
      <c r="AD551" s="3">
        <f t="shared" si="61"/>
        <v>1</v>
      </c>
      <c r="AE551" s="4">
        <v>7843.27</v>
      </c>
      <c r="AF551" s="4" t="str">
        <f>IF(fin_table[[#This Row],[Monthly Income]]&lt;3000, "Low Income", IF(fin_table[[#This Row],[Monthly Income]]&lt;=5000, "Middle Income", "High Income"))</f>
        <v>High Income</v>
      </c>
      <c r="AG551" t="s">
        <v>63</v>
      </c>
      <c r="AH551" t="s">
        <v>3635</v>
      </c>
      <c r="AI551" t="str">
        <f t="shared" si="62"/>
        <v>Low-Risk</v>
      </c>
    </row>
    <row r="552" spans="1:35" x14ac:dyDescent="0.35">
      <c r="A552" t="s">
        <v>2088</v>
      </c>
      <c r="B552" t="s">
        <v>2089</v>
      </c>
      <c r="C552" t="s">
        <v>2090</v>
      </c>
      <c r="D552" s="1">
        <v>44643</v>
      </c>
      <c r="E552" s="1" t="str">
        <f t="shared" si="56"/>
        <v>23</v>
      </c>
      <c r="F552" s="1" t="str">
        <f t="shared" si="57"/>
        <v>Mar</v>
      </c>
      <c r="G552" s="6" t="s">
        <v>23</v>
      </c>
      <c r="H552" s="5">
        <v>8710.66</v>
      </c>
      <c r="I552" s="5" t="str">
        <f>IF(fin_table[[#This Row],[Account Balance]]&lt;20000,"Active", "Not Active")</f>
        <v>Not Active</v>
      </c>
      <c r="J552" s="5">
        <v>23948.18</v>
      </c>
      <c r="K552" s="5" t="str">
        <f t="shared" si="58"/>
        <v>Medium</v>
      </c>
      <c r="L552" s="6" t="s">
        <v>49</v>
      </c>
      <c r="M552">
        <v>45</v>
      </c>
      <c r="N552" s="6" t="str">
        <f t="shared" si="59"/>
        <v>Middle-Aged</v>
      </c>
      <c r="O552" s="6" t="s">
        <v>42</v>
      </c>
      <c r="P552" s="6" t="s">
        <v>26</v>
      </c>
      <c r="Q552" t="s">
        <v>2091</v>
      </c>
      <c r="R552" s="6" t="s">
        <v>38</v>
      </c>
      <c r="S552" s="6" t="s">
        <v>29</v>
      </c>
      <c r="T552" s="14">
        <v>3.3799999999999997E-2</v>
      </c>
      <c r="U552">
        <v>3.38</v>
      </c>
      <c r="V552" t="str">
        <f>IF(fin_table[[#This Row],[Interest Rate(%)]]&gt;4,"high","low")</f>
        <v>low</v>
      </c>
      <c r="W552" s="5">
        <v>26827.49</v>
      </c>
      <c r="X552" s="5">
        <f>fin_table[[#This Row],[Interest Rate]]*fin_table[[#This Row],[Loan Amount]]</f>
        <v>906.76916199999994</v>
      </c>
      <c r="Y552">
        <v>13</v>
      </c>
      <c r="Z552" s="3">
        <v>698</v>
      </c>
      <c r="AA552" s="3" t="str">
        <f t="shared" si="60"/>
        <v>Good</v>
      </c>
      <c r="AB552" s="3" cm="1">
        <f t="array" ref="AB552">_xlfn.IFS(fin_table[[#This Row],[Transaction Status]]="Failed", 1, fin_table[[#This Row],[Transaction Status]]="Completed",0,fin_table[[#This Row],[Transaction Status]]="Pending",2)</f>
        <v>1</v>
      </c>
      <c r="AC552" s="3" t="str">
        <f>IF(fin_table[[#This Row],[Loan Defaulters]]=1,"Default", "Good")</f>
        <v>Default</v>
      </c>
      <c r="AD552" s="3">
        <f t="shared" si="61"/>
        <v>3</v>
      </c>
      <c r="AE552" s="4">
        <v>5141.7299999999996</v>
      </c>
      <c r="AF552" s="4" t="str">
        <f>IF(fin_table[[#This Row],[Monthly Income]]&lt;3000, "Low Income", IF(fin_table[[#This Row],[Monthly Income]]&lt;=5000, "Middle Income", "High Income"))</f>
        <v>High Income</v>
      </c>
      <c r="AG552" t="s">
        <v>45</v>
      </c>
      <c r="AH552" t="s">
        <v>3636</v>
      </c>
      <c r="AI552" t="str">
        <f t="shared" si="62"/>
        <v>Low-Risk</v>
      </c>
    </row>
    <row r="553" spans="1:35" x14ac:dyDescent="0.35">
      <c r="A553" t="s">
        <v>2092</v>
      </c>
      <c r="B553" t="s">
        <v>2093</v>
      </c>
      <c r="C553" t="s">
        <v>2094</v>
      </c>
      <c r="D553" s="1">
        <v>44584</v>
      </c>
      <c r="E553" s="1" t="str">
        <f t="shared" si="56"/>
        <v>23</v>
      </c>
      <c r="F553" s="1" t="str">
        <f t="shared" si="57"/>
        <v>Jan</v>
      </c>
      <c r="G553" s="6" t="s">
        <v>34</v>
      </c>
      <c r="H553" s="5">
        <v>7331.91</v>
      </c>
      <c r="I553" s="5" t="str">
        <f>IF(fin_table[[#This Row],[Account Balance]]&lt;20000,"Active", "Not Active")</f>
        <v>Not Active</v>
      </c>
      <c r="J553" s="5">
        <v>38904.080000000002</v>
      </c>
      <c r="K553" s="5" t="str">
        <f t="shared" si="58"/>
        <v>Medium</v>
      </c>
      <c r="L553" s="6" t="s">
        <v>24</v>
      </c>
      <c r="M553">
        <v>33</v>
      </c>
      <c r="N553" s="6" t="str">
        <f t="shared" si="59"/>
        <v>Adults</v>
      </c>
      <c r="O553" s="6" t="s">
        <v>25</v>
      </c>
      <c r="P553" s="6" t="s">
        <v>50</v>
      </c>
      <c r="Q553" t="s">
        <v>418</v>
      </c>
      <c r="R553" s="6" t="s">
        <v>52</v>
      </c>
      <c r="S553" s="6" t="s">
        <v>29</v>
      </c>
      <c r="T553" s="14">
        <v>1.1299999999999999E-2</v>
      </c>
      <c r="U553">
        <v>1.1299999999999999</v>
      </c>
      <c r="V553" t="str">
        <f>IF(fin_table[[#This Row],[Interest Rate(%)]]&gt;4,"high","low")</f>
        <v>low</v>
      </c>
      <c r="W553" s="5">
        <v>26681.654999999999</v>
      </c>
      <c r="X553" s="5">
        <f>fin_table[[#This Row],[Interest Rate]]*fin_table[[#This Row],[Loan Amount]]</f>
        <v>301.50270149999994</v>
      </c>
      <c r="Y553">
        <v>13</v>
      </c>
      <c r="Z553" s="3">
        <v>698</v>
      </c>
      <c r="AA553" s="3" t="str">
        <f t="shared" si="60"/>
        <v>Good</v>
      </c>
      <c r="AB553" s="3" cm="1">
        <f t="array" ref="AB553">_xlfn.IFS(fin_table[[#This Row],[Transaction Status]]="Failed", 1, fin_table[[#This Row],[Transaction Status]]="Completed",0,fin_table[[#This Row],[Transaction Status]]="Pending",2)</f>
        <v>1</v>
      </c>
      <c r="AC553" s="3" t="str">
        <f>IF(fin_table[[#This Row],[Loan Defaulters]]=1,"Default", "Good")</f>
        <v>Default</v>
      </c>
      <c r="AD553" s="3">
        <f t="shared" si="61"/>
        <v>3</v>
      </c>
      <c r="AE553" s="4">
        <v>2018.44</v>
      </c>
      <c r="AF553" s="4" t="str">
        <f>IF(fin_table[[#This Row],[Monthly Income]]&lt;3000, "Low Income", IF(fin_table[[#This Row],[Monthly Income]]&lt;=5000, "Middle Income", "High Income"))</f>
        <v>Low Income</v>
      </c>
      <c r="AG553" t="s">
        <v>63</v>
      </c>
      <c r="AH553" t="s">
        <v>3635</v>
      </c>
      <c r="AI553" t="str">
        <f t="shared" si="62"/>
        <v>Low-Risk</v>
      </c>
    </row>
    <row r="554" spans="1:35" x14ac:dyDescent="0.35">
      <c r="A554" t="s">
        <v>2095</v>
      </c>
      <c r="B554" t="s">
        <v>2096</v>
      </c>
      <c r="C554" t="s">
        <v>2097</v>
      </c>
      <c r="D554" s="1">
        <v>44752</v>
      </c>
      <c r="E554" s="1" t="str">
        <f t="shared" si="56"/>
        <v>10</v>
      </c>
      <c r="F554" s="1" t="str">
        <f t="shared" si="57"/>
        <v>Jul</v>
      </c>
      <c r="G554" s="6" t="s">
        <v>34</v>
      </c>
      <c r="H554" s="5">
        <v>6512.36</v>
      </c>
      <c r="I554" s="5" t="str">
        <f>IF(fin_table[[#This Row],[Account Balance]]&lt;20000,"Active", "Not Active")</f>
        <v>Active</v>
      </c>
      <c r="J554" s="5">
        <v>7046.64</v>
      </c>
      <c r="K554" s="5" t="str">
        <f t="shared" si="58"/>
        <v>Low</v>
      </c>
      <c r="L554" s="6" t="s">
        <v>100</v>
      </c>
      <c r="M554">
        <v>54</v>
      </c>
      <c r="N554" s="6" t="str">
        <f t="shared" si="59"/>
        <v>Older Adults</v>
      </c>
      <c r="O554" s="6" t="s">
        <v>42</v>
      </c>
      <c r="P554" s="6" t="s">
        <v>50</v>
      </c>
      <c r="Q554" t="s">
        <v>2098</v>
      </c>
      <c r="R554" s="6" t="s">
        <v>52</v>
      </c>
      <c r="S554" s="6" t="s">
        <v>44</v>
      </c>
      <c r="T554" s="14">
        <v>1.6799999999999999E-2</v>
      </c>
      <c r="U554">
        <v>1.68</v>
      </c>
      <c r="V554" t="str">
        <f>IF(fin_table[[#This Row],[Interest Rate(%)]]&gt;4,"high","low")</f>
        <v>low</v>
      </c>
      <c r="W554" s="5">
        <v>28784.29</v>
      </c>
      <c r="X554" s="5">
        <f>fin_table[[#This Row],[Interest Rate]]*fin_table[[#This Row],[Loan Amount]]</f>
        <v>483.57607200000001</v>
      </c>
      <c r="Y554">
        <v>7</v>
      </c>
      <c r="Z554" s="3">
        <v>792</v>
      </c>
      <c r="AA554" s="3" t="str">
        <f t="shared" si="60"/>
        <v>Very Good</v>
      </c>
      <c r="AB554" s="3" cm="1">
        <f t="array" ref="AB554">_xlfn.IFS(fin_table[[#This Row],[Transaction Status]]="Failed", 1, fin_table[[#This Row],[Transaction Status]]="Completed",0,fin_table[[#This Row],[Transaction Status]]="Pending",2)</f>
        <v>0</v>
      </c>
      <c r="AC554" s="3" t="str">
        <f>IF(fin_table[[#This Row],[Loan Defaulters]]=1,"Default", "Good")</f>
        <v>Good</v>
      </c>
      <c r="AD554" s="3">
        <f t="shared" si="61"/>
        <v>4</v>
      </c>
      <c r="AE554" s="4">
        <v>9279.5300000000007</v>
      </c>
      <c r="AF554" s="4" t="str">
        <f>IF(fin_table[[#This Row],[Monthly Income]]&lt;3000, "Low Income", IF(fin_table[[#This Row],[Monthly Income]]&lt;=5000, "Middle Income", "High Income"))</f>
        <v>High Income</v>
      </c>
      <c r="AG554" t="s">
        <v>45</v>
      </c>
      <c r="AH554" t="s">
        <v>3636</v>
      </c>
      <c r="AI554" t="str">
        <f t="shared" si="62"/>
        <v>Low-Risk</v>
      </c>
    </row>
    <row r="555" spans="1:35" x14ac:dyDescent="0.35">
      <c r="A555" t="s">
        <v>2099</v>
      </c>
      <c r="B555" t="s">
        <v>2100</v>
      </c>
      <c r="C555" t="s">
        <v>2101</v>
      </c>
      <c r="D555" s="1">
        <v>45130</v>
      </c>
      <c r="E555" s="1" t="str">
        <f t="shared" si="56"/>
        <v>23</v>
      </c>
      <c r="F555" s="1" t="str">
        <f t="shared" si="57"/>
        <v>Jul</v>
      </c>
      <c r="G555" s="6" t="s">
        <v>23</v>
      </c>
      <c r="H555" s="5">
        <v>7982.78</v>
      </c>
      <c r="I555" s="5" t="str">
        <f>IF(fin_table[[#This Row],[Account Balance]]&lt;20000,"Active", "Not Active")</f>
        <v>Not Active</v>
      </c>
      <c r="J555" s="5">
        <v>31689.8</v>
      </c>
      <c r="K555" s="5" t="str">
        <f t="shared" si="58"/>
        <v>Medium</v>
      </c>
      <c r="L555" s="6" t="s">
        <v>125</v>
      </c>
      <c r="M555">
        <v>38</v>
      </c>
      <c r="N555" s="6" t="str">
        <f t="shared" si="59"/>
        <v>Middle-Aged</v>
      </c>
      <c r="O555" s="6" t="s">
        <v>25</v>
      </c>
      <c r="P555" s="6" t="s">
        <v>50</v>
      </c>
      <c r="Q555" t="s">
        <v>438</v>
      </c>
      <c r="R555" s="6" t="s">
        <v>28</v>
      </c>
      <c r="S555" s="6" t="s">
        <v>44</v>
      </c>
      <c r="T555" s="14">
        <v>3.5299999999999998E-2</v>
      </c>
      <c r="U555">
        <v>3.53</v>
      </c>
      <c r="V555" t="str">
        <f>IF(fin_table[[#This Row],[Interest Rate(%)]]&gt;4,"high","low")</f>
        <v>low</v>
      </c>
      <c r="W555" s="5">
        <v>18085.64</v>
      </c>
      <c r="X555" s="5">
        <f>fin_table[[#This Row],[Interest Rate]]*fin_table[[#This Row],[Loan Amount]]</f>
        <v>638.423092</v>
      </c>
      <c r="Y555">
        <v>26</v>
      </c>
      <c r="Z555" s="3">
        <v>538</v>
      </c>
      <c r="AA555" s="3" t="str">
        <f t="shared" si="60"/>
        <v>Poor</v>
      </c>
      <c r="AB555" s="3" cm="1">
        <f t="array" ref="AB555">_xlfn.IFS(fin_table[[#This Row],[Transaction Status]]="Failed", 1, fin_table[[#This Row],[Transaction Status]]="Completed",0,fin_table[[#This Row],[Transaction Status]]="Pending",2)</f>
        <v>0</v>
      </c>
      <c r="AC555" s="3" t="str">
        <f>IF(fin_table[[#This Row],[Loan Defaulters]]=1,"Default", "Good")</f>
        <v>Good</v>
      </c>
      <c r="AD555" s="3">
        <f t="shared" si="61"/>
        <v>1</v>
      </c>
      <c r="AE555" s="4">
        <v>9678.52</v>
      </c>
      <c r="AF555" s="4" t="str">
        <f>IF(fin_table[[#This Row],[Monthly Income]]&lt;3000, "Low Income", IF(fin_table[[#This Row],[Monthly Income]]&lt;=5000, "Middle Income", "High Income"))</f>
        <v>High Income</v>
      </c>
      <c r="AG555" t="s">
        <v>63</v>
      </c>
      <c r="AH555" t="s">
        <v>3636</v>
      </c>
      <c r="AI555" t="str">
        <f t="shared" si="62"/>
        <v>Low-Risk</v>
      </c>
    </row>
    <row r="556" spans="1:35" x14ac:dyDescent="0.35">
      <c r="A556" t="s">
        <v>2102</v>
      </c>
      <c r="B556" t="s">
        <v>2103</v>
      </c>
      <c r="C556" t="s">
        <v>2104</v>
      </c>
      <c r="D556" s="1">
        <v>45088</v>
      </c>
      <c r="E556" s="1" t="str">
        <f t="shared" si="56"/>
        <v>11</v>
      </c>
      <c r="F556" s="1" t="str">
        <f t="shared" si="57"/>
        <v>Jun</v>
      </c>
      <c r="G556" s="6" t="s">
        <v>23</v>
      </c>
      <c r="H556" s="5">
        <v>7564.83</v>
      </c>
      <c r="I556" s="5" t="str">
        <f>IF(fin_table[[#This Row],[Account Balance]]&lt;20000,"Active", "Not Active")</f>
        <v>Active</v>
      </c>
      <c r="J556" s="5">
        <v>14645.07</v>
      </c>
      <c r="K556" s="5" t="str">
        <f t="shared" si="58"/>
        <v>Medium</v>
      </c>
      <c r="L556" s="6" t="s">
        <v>100</v>
      </c>
      <c r="M556">
        <v>32</v>
      </c>
      <c r="N556" s="6" t="str">
        <f t="shared" si="59"/>
        <v>Adults</v>
      </c>
      <c r="O556" s="6" t="s">
        <v>42</v>
      </c>
      <c r="P556" s="6" t="s">
        <v>26</v>
      </c>
      <c r="Q556" t="s">
        <v>2105</v>
      </c>
      <c r="R556" s="6" t="s">
        <v>28</v>
      </c>
      <c r="S556" s="6" t="s">
        <v>62</v>
      </c>
      <c r="T556" s="14">
        <v>2.6800000000000001E-2</v>
      </c>
      <c r="U556">
        <v>2.68</v>
      </c>
      <c r="V556" t="str">
        <f>IF(fin_table[[#This Row],[Interest Rate(%)]]&gt;4,"high","low")</f>
        <v>low</v>
      </c>
      <c r="W556" s="5">
        <v>35937.589999999997</v>
      </c>
      <c r="X556" s="5">
        <f>fin_table[[#This Row],[Interest Rate]]*fin_table[[#This Row],[Loan Amount]]</f>
        <v>963.12741199999994</v>
      </c>
      <c r="Y556">
        <v>11</v>
      </c>
      <c r="Z556" s="3">
        <v>764</v>
      </c>
      <c r="AA556" s="3" t="str">
        <f t="shared" si="60"/>
        <v>Very Good</v>
      </c>
      <c r="AB556" s="3" cm="1">
        <f t="array" ref="AB556">_xlfn.IFS(fin_table[[#This Row],[Transaction Status]]="Failed", 1, fin_table[[#This Row],[Transaction Status]]="Completed",0,fin_table[[#This Row],[Transaction Status]]="Pending",2)</f>
        <v>2</v>
      </c>
      <c r="AC556" s="3" t="str">
        <f>IF(fin_table[[#This Row],[Loan Defaulters]]=1,"Default", "Good")</f>
        <v>Good</v>
      </c>
      <c r="AD556" s="3">
        <f t="shared" si="61"/>
        <v>4</v>
      </c>
      <c r="AE556" s="4">
        <v>14636.64</v>
      </c>
      <c r="AF556" s="4" t="str">
        <f>IF(fin_table[[#This Row],[Monthly Income]]&lt;3000, "Low Income", IF(fin_table[[#This Row],[Monthly Income]]&lt;=5000, "Middle Income", "High Income"))</f>
        <v>High Income</v>
      </c>
      <c r="AG556" t="s">
        <v>45</v>
      </c>
      <c r="AH556" t="s">
        <v>3636</v>
      </c>
      <c r="AI556" t="str">
        <f t="shared" si="62"/>
        <v>Low-Risk</v>
      </c>
    </row>
    <row r="557" spans="1:35" x14ac:dyDescent="0.35">
      <c r="A557" t="s">
        <v>2106</v>
      </c>
      <c r="B557" t="s">
        <v>2107</v>
      </c>
      <c r="C557" t="s">
        <v>2108</v>
      </c>
      <c r="D557" s="1">
        <v>44603</v>
      </c>
      <c r="E557" s="1" t="str">
        <f t="shared" si="56"/>
        <v>11</v>
      </c>
      <c r="F557" s="1" t="str">
        <f t="shared" si="57"/>
        <v>Feb</v>
      </c>
      <c r="G557" s="6" t="s">
        <v>71</v>
      </c>
      <c r="H557" s="5">
        <v>455.79</v>
      </c>
      <c r="I557" s="5" t="str">
        <f>IF(fin_table[[#This Row],[Account Balance]]&lt;20000,"Active", "Not Active")</f>
        <v>Not Active</v>
      </c>
      <c r="J557" s="5">
        <v>42796.12</v>
      </c>
      <c r="K557" s="5" t="str">
        <f t="shared" si="58"/>
        <v>Medium</v>
      </c>
      <c r="L557" s="6" t="s">
        <v>24</v>
      </c>
      <c r="M557">
        <v>34</v>
      </c>
      <c r="N557" s="6" t="str">
        <f t="shared" si="59"/>
        <v>Adults</v>
      </c>
      <c r="O557" s="6" t="s">
        <v>42</v>
      </c>
      <c r="P557" s="6" t="s">
        <v>36</v>
      </c>
      <c r="Q557" t="s">
        <v>2109</v>
      </c>
      <c r="R557" s="6" t="s">
        <v>38</v>
      </c>
      <c r="S557" s="6" t="s">
        <v>62</v>
      </c>
      <c r="T557" s="14">
        <v>3.0300000000000001E-2</v>
      </c>
      <c r="U557">
        <v>3.03</v>
      </c>
      <c r="V557" t="str">
        <f>IF(fin_table[[#This Row],[Interest Rate(%)]]&gt;4,"high","low")</f>
        <v>low</v>
      </c>
      <c r="W557" s="5">
        <v>26681.654999999999</v>
      </c>
      <c r="X557" s="5">
        <f>fin_table[[#This Row],[Interest Rate]]*fin_table[[#This Row],[Loan Amount]]</f>
        <v>808.45414649999998</v>
      </c>
      <c r="Y557">
        <v>13</v>
      </c>
      <c r="Z557" s="3">
        <v>331</v>
      </c>
      <c r="AA557" s="3" t="str">
        <f t="shared" si="60"/>
        <v>Poor</v>
      </c>
      <c r="AB557" s="3" cm="1">
        <f t="array" ref="AB557">_xlfn.IFS(fin_table[[#This Row],[Transaction Status]]="Failed", 1, fin_table[[#This Row],[Transaction Status]]="Completed",0,fin_table[[#This Row],[Transaction Status]]="Pending",2)</f>
        <v>2</v>
      </c>
      <c r="AC557" s="3" t="str">
        <f>IF(fin_table[[#This Row],[Loan Defaulters]]=1,"Default", "Good")</f>
        <v>Good</v>
      </c>
      <c r="AD557" s="3">
        <f t="shared" si="61"/>
        <v>1</v>
      </c>
      <c r="AE557" s="4">
        <v>6699.22</v>
      </c>
      <c r="AF557" s="4" t="str">
        <f>IF(fin_table[[#This Row],[Monthly Income]]&lt;3000, "Low Income", IF(fin_table[[#This Row],[Monthly Income]]&lt;=5000, "Middle Income", "High Income"))</f>
        <v>High Income</v>
      </c>
      <c r="AG557" t="s">
        <v>30</v>
      </c>
      <c r="AH557" t="s">
        <v>3635</v>
      </c>
      <c r="AI557" t="str">
        <f t="shared" si="62"/>
        <v>Low-Risk</v>
      </c>
    </row>
    <row r="558" spans="1:35" x14ac:dyDescent="0.35">
      <c r="A558" t="s">
        <v>2110</v>
      </c>
      <c r="B558" t="s">
        <v>1985</v>
      </c>
      <c r="C558" t="s">
        <v>2111</v>
      </c>
      <c r="D558" s="1">
        <v>45143</v>
      </c>
      <c r="E558" s="1" t="str">
        <f t="shared" si="56"/>
        <v>05</v>
      </c>
      <c r="F558" s="1" t="str">
        <f t="shared" si="57"/>
        <v>Aug</v>
      </c>
      <c r="G558" s="6" t="s">
        <v>23</v>
      </c>
      <c r="H558" s="5">
        <v>4007.87</v>
      </c>
      <c r="I558" s="5" t="str">
        <f>IF(fin_table[[#This Row],[Account Balance]]&lt;20000,"Active", "Not Active")</f>
        <v>Not Active</v>
      </c>
      <c r="J558" s="5">
        <v>46490.79</v>
      </c>
      <c r="K558" s="5" t="str">
        <f t="shared" si="58"/>
        <v>Medium</v>
      </c>
      <c r="L558" s="6" t="s">
        <v>35</v>
      </c>
      <c r="M558">
        <v>67</v>
      </c>
      <c r="N558" s="6" t="str">
        <f t="shared" si="59"/>
        <v>Seniors</v>
      </c>
      <c r="O558" s="6" t="s">
        <v>25</v>
      </c>
      <c r="P558" s="6" t="s">
        <v>36</v>
      </c>
      <c r="Q558" t="s">
        <v>2112</v>
      </c>
      <c r="R558" s="6" t="s">
        <v>52</v>
      </c>
      <c r="S558" s="6" t="s">
        <v>44</v>
      </c>
      <c r="T558" s="14">
        <v>1.2500000000000001E-2</v>
      </c>
      <c r="U558">
        <v>1.25</v>
      </c>
      <c r="V558" t="str">
        <f>IF(fin_table[[#This Row],[Interest Rate(%)]]&gt;4,"high","low")</f>
        <v>low</v>
      </c>
      <c r="W558" s="5">
        <v>25646.31</v>
      </c>
      <c r="X558" s="5">
        <f>fin_table[[#This Row],[Interest Rate]]*fin_table[[#This Row],[Loan Amount]]</f>
        <v>320.57887500000004</v>
      </c>
      <c r="Y558">
        <v>13</v>
      </c>
      <c r="Z558" s="3">
        <v>422</v>
      </c>
      <c r="AA558" s="3" t="str">
        <f t="shared" si="60"/>
        <v>Poor</v>
      </c>
      <c r="AB558" s="3" cm="1">
        <f t="array" ref="AB558">_xlfn.IFS(fin_table[[#This Row],[Transaction Status]]="Failed", 1, fin_table[[#This Row],[Transaction Status]]="Completed",0,fin_table[[#This Row],[Transaction Status]]="Pending",2)</f>
        <v>0</v>
      </c>
      <c r="AC558" s="3" t="str">
        <f>IF(fin_table[[#This Row],[Loan Defaulters]]=1,"Default", "Good")</f>
        <v>Good</v>
      </c>
      <c r="AD558" s="3">
        <f t="shared" si="61"/>
        <v>1</v>
      </c>
      <c r="AE558" s="4">
        <v>7123.73</v>
      </c>
      <c r="AF558" s="4" t="str">
        <f>IF(fin_table[[#This Row],[Monthly Income]]&lt;3000, "Low Income", IF(fin_table[[#This Row],[Monthly Income]]&lt;=5000, "Middle Income", "High Income"))</f>
        <v>High Income</v>
      </c>
      <c r="AG558" t="s">
        <v>30</v>
      </c>
      <c r="AH558" t="s">
        <v>3636</v>
      </c>
      <c r="AI558" t="str">
        <f t="shared" si="62"/>
        <v>Low-Risk</v>
      </c>
    </row>
    <row r="559" spans="1:35" x14ac:dyDescent="0.35">
      <c r="A559" t="s">
        <v>2113</v>
      </c>
      <c r="B559" t="s">
        <v>2114</v>
      </c>
      <c r="C559" t="s">
        <v>2115</v>
      </c>
      <c r="D559" s="1">
        <v>44869</v>
      </c>
      <c r="E559" s="1" t="str">
        <f t="shared" si="56"/>
        <v>04</v>
      </c>
      <c r="F559" s="1" t="str">
        <f t="shared" si="57"/>
        <v>Nov</v>
      </c>
      <c r="G559" s="6" t="s">
        <v>71</v>
      </c>
      <c r="H559" s="5">
        <v>9314.99</v>
      </c>
      <c r="I559" s="5" t="str">
        <f>IF(fin_table[[#This Row],[Account Balance]]&lt;20000,"Active", "Not Active")</f>
        <v>Not Active</v>
      </c>
      <c r="J559" s="5">
        <v>49823.519999999997</v>
      </c>
      <c r="K559" s="5" t="str">
        <f t="shared" si="58"/>
        <v>Medium</v>
      </c>
      <c r="L559" s="6" t="s">
        <v>35</v>
      </c>
      <c r="M559">
        <v>54</v>
      </c>
      <c r="N559" s="6" t="str">
        <f t="shared" si="59"/>
        <v>Older Adults</v>
      </c>
      <c r="O559" s="6" t="s">
        <v>42</v>
      </c>
      <c r="P559" s="6" t="s">
        <v>50</v>
      </c>
      <c r="Q559" t="s">
        <v>1268</v>
      </c>
      <c r="R559" s="6" t="s">
        <v>28</v>
      </c>
      <c r="S559" s="6" t="s">
        <v>29</v>
      </c>
      <c r="T559" s="14">
        <v>4.3400000000000001E-2</v>
      </c>
      <c r="U559">
        <v>4.34</v>
      </c>
      <c r="V559" t="str">
        <f>IF(fin_table[[#This Row],[Interest Rate(%)]]&gt;4,"high","low")</f>
        <v>high</v>
      </c>
      <c r="W559" s="5">
        <v>26681.654999999999</v>
      </c>
      <c r="X559" s="5">
        <f>fin_table[[#This Row],[Interest Rate]]*fin_table[[#This Row],[Loan Amount]]</f>
        <v>1157.983827</v>
      </c>
      <c r="Y559">
        <v>13</v>
      </c>
      <c r="Z559" s="3">
        <v>833</v>
      </c>
      <c r="AA559" s="3" t="str">
        <f t="shared" si="60"/>
        <v>Excellent</v>
      </c>
      <c r="AB559" s="3" cm="1">
        <f t="array" ref="AB559">_xlfn.IFS(fin_table[[#This Row],[Transaction Status]]="Failed", 1, fin_table[[#This Row],[Transaction Status]]="Completed",0,fin_table[[#This Row],[Transaction Status]]="Pending",2)</f>
        <v>1</v>
      </c>
      <c r="AC559" s="3" t="str">
        <f>IF(fin_table[[#This Row],[Loan Defaulters]]=1,"Default", "Good")</f>
        <v>Default</v>
      </c>
      <c r="AD559" s="3">
        <f t="shared" si="61"/>
        <v>5</v>
      </c>
      <c r="AE559" s="4">
        <v>4623.3900000000003</v>
      </c>
      <c r="AF559" s="4" t="str">
        <f>IF(fin_table[[#This Row],[Monthly Income]]&lt;3000, "Low Income", IF(fin_table[[#This Row],[Monthly Income]]&lt;=5000, "Middle Income", "High Income"))</f>
        <v>Middle Income</v>
      </c>
      <c r="AG559" t="s">
        <v>30</v>
      </c>
      <c r="AH559" t="s">
        <v>3635</v>
      </c>
      <c r="AI559" t="str">
        <f t="shared" si="62"/>
        <v>Low-Risk</v>
      </c>
    </row>
    <row r="560" spans="1:35" x14ac:dyDescent="0.35">
      <c r="A560" t="s">
        <v>2116</v>
      </c>
      <c r="B560" t="s">
        <v>2117</v>
      </c>
      <c r="C560" t="s">
        <v>2118</v>
      </c>
      <c r="D560" s="1">
        <v>44937</v>
      </c>
      <c r="E560" s="1" t="str">
        <f t="shared" si="56"/>
        <v>11</v>
      </c>
      <c r="F560" s="1" t="str">
        <f t="shared" si="57"/>
        <v>Jan</v>
      </c>
      <c r="G560" s="6" t="s">
        <v>56</v>
      </c>
      <c r="H560" s="5">
        <v>1344.67</v>
      </c>
      <c r="I560" s="5" t="str">
        <f>IF(fin_table[[#This Row],[Account Balance]]&lt;20000,"Active", "Not Active")</f>
        <v>Not Active</v>
      </c>
      <c r="J560" s="5">
        <v>40004.36</v>
      </c>
      <c r="K560" s="5" t="str">
        <f t="shared" si="58"/>
        <v>Medium</v>
      </c>
      <c r="L560" s="6" t="s">
        <v>24</v>
      </c>
      <c r="M560">
        <v>30</v>
      </c>
      <c r="N560" s="6" t="str">
        <f t="shared" si="59"/>
        <v>Adults</v>
      </c>
      <c r="O560" s="6" t="s">
        <v>25</v>
      </c>
      <c r="P560" s="6" t="s">
        <v>36</v>
      </c>
      <c r="Q560" t="s">
        <v>2119</v>
      </c>
      <c r="R560" s="6" t="s">
        <v>38</v>
      </c>
      <c r="S560" s="6" t="s">
        <v>44</v>
      </c>
      <c r="T560" s="14">
        <v>4.1399999999999999E-2</v>
      </c>
      <c r="U560">
        <v>4.1399999999999997</v>
      </c>
      <c r="V560" t="str">
        <f>IF(fin_table[[#This Row],[Interest Rate(%)]]&gt;4,"high","low")</f>
        <v>high</v>
      </c>
      <c r="W560" s="5">
        <v>26681.654999999999</v>
      </c>
      <c r="X560" s="5">
        <f>fin_table[[#This Row],[Interest Rate]]*fin_table[[#This Row],[Loan Amount]]</f>
        <v>1104.6205169999998</v>
      </c>
      <c r="Y560">
        <v>13</v>
      </c>
      <c r="Z560" s="3">
        <v>409</v>
      </c>
      <c r="AA560" s="3" t="str">
        <f t="shared" si="60"/>
        <v>Poor</v>
      </c>
      <c r="AB560" s="3" cm="1">
        <f t="array" ref="AB560">_xlfn.IFS(fin_table[[#This Row],[Transaction Status]]="Failed", 1, fin_table[[#This Row],[Transaction Status]]="Completed",0,fin_table[[#This Row],[Transaction Status]]="Pending",2)</f>
        <v>0</v>
      </c>
      <c r="AC560" s="3" t="str">
        <f>IF(fin_table[[#This Row],[Loan Defaulters]]=1,"Default", "Good")</f>
        <v>Good</v>
      </c>
      <c r="AD560" s="3">
        <f t="shared" si="61"/>
        <v>1</v>
      </c>
      <c r="AE560" s="4">
        <v>2916.95</v>
      </c>
      <c r="AF560" s="4" t="str">
        <f>IF(fin_table[[#This Row],[Monthly Income]]&lt;3000, "Low Income", IF(fin_table[[#This Row],[Monthly Income]]&lt;=5000, "Middle Income", "High Income"))</f>
        <v>Low Income</v>
      </c>
      <c r="AG560" t="s">
        <v>63</v>
      </c>
      <c r="AH560" t="s">
        <v>3635</v>
      </c>
      <c r="AI560" t="str">
        <f t="shared" si="62"/>
        <v>Low-Risk</v>
      </c>
    </row>
    <row r="561" spans="1:35" x14ac:dyDescent="0.35">
      <c r="A561" t="s">
        <v>2120</v>
      </c>
      <c r="B561" t="s">
        <v>2121</v>
      </c>
      <c r="C561" t="s">
        <v>2122</v>
      </c>
      <c r="D561" s="1">
        <v>44571</v>
      </c>
      <c r="E561" s="1" t="str">
        <f t="shared" si="56"/>
        <v>10</v>
      </c>
      <c r="F561" s="1" t="str">
        <f t="shared" si="57"/>
        <v>Jan</v>
      </c>
      <c r="G561" s="6" t="s">
        <v>71</v>
      </c>
      <c r="H561" s="5">
        <v>7397.26</v>
      </c>
      <c r="I561" s="5" t="str">
        <f>IF(fin_table[[#This Row],[Account Balance]]&lt;20000,"Active", "Not Active")</f>
        <v>Not Active</v>
      </c>
      <c r="J561" s="5">
        <v>37932.97</v>
      </c>
      <c r="K561" s="5" t="str">
        <f t="shared" si="58"/>
        <v>Medium</v>
      </c>
      <c r="L561" s="6" t="s">
        <v>49</v>
      </c>
      <c r="M561">
        <v>36</v>
      </c>
      <c r="N561" s="6" t="str">
        <f t="shared" si="59"/>
        <v>Middle-Aged</v>
      </c>
      <c r="O561" s="6" t="s">
        <v>42</v>
      </c>
      <c r="P561" s="6" t="s">
        <v>50</v>
      </c>
      <c r="Q561" t="s">
        <v>1236</v>
      </c>
      <c r="R561" s="6" t="s">
        <v>38</v>
      </c>
      <c r="S561" s="6" t="s">
        <v>62</v>
      </c>
      <c r="T561" s="14">
        <v>1.7399999999999999E-2</v>
      </c>
      <c r="U561">
        <v>1.74</v>
      </c>
      <c r="V561" t="str">
        <f>IF(fin_table[[#This Row],[Interest Rate(%)]]&gt;4,"high","low")</f>
        <v>low</v>
      </c>
      <c r="W561" s="5">
        <v>26681.654999999999</v>
      </c>
      <c r="X561" s="5">
        <f>fin_table[[#This Row],[Interest Rate]]*fin_table[[#This Row],[Loan Amount]]</f>
        <v>464.26079699999997</v>
      </c>
      <c r="Y561">
        <v>13</v>
      </c>
      <c r="Z561" s="3">
        <v>570</v>
      </c>
      <c r="AA561" s="3" t="str">
        <f t="shared" si="60"/>
        <v>Poor</v>
      </c>
      <c r="AB561" s="3" cm="1">
        <f t="array" ref="AB561">_xlfn.IFS(fin_table[[#This Row],[Transaction Status]]="Failed", 1, fin_table[[#This Row],[Transaction Status]]="Completed",0,fin_table[[#This Row],[Transaction Status]]="Pending",2)</f>
        <v>2</v>
      </c>
      <c r="AC561" s="3" t="str">
        <f>IF(fin_table[[#This Row],[Loan Defaulters]]=1,"Default", "Good")</f>
        <v>Good</v>
      </c>
      <c r="AD561" s="3">
        <f t="shared" si="61"/>
        <v>1</v>
      </c>
      <c r="AE561" s="4">
        <v>12046.46</v>
      </c>
      <c r="AF561" s="4" t="str">
        <f>IF(fin_table[[#This Row],[Monthly Income]]&lt;3000, "Low Income", IF(fin_table[[#This Row],[Monthly Income]]&lt;=5000, "Middle Income", "High Income"))</f>
        <v>High Income</v>
      </c>
      <c r="AG561" t="s">
        <v>45</v>
      </c>
      <c r="AH561" t="s">
        <v>3635</v>
      </c>
      <c r="AI561" t="str">
        <f t="shared" si="62"/>
        <v>Low-Risk</v>
      </c>
    </row>
    <row r="562" spans="1:35" x14ac:dyDescent="0.35">
      <c r="A562" t="s">
        <v>2123</v>
      </c>
      <c r="B562" t="s">
        <v>2124</v>
      </c>
      <c r="C562" t="s">
        <v>2125</v>
      </c>
      <c r="D562" s="1">
        <v>44788</v>
      </c>
      <c r="E562" s="1" t="str">
        <f t="shared" si="56"/>
        <v>15</v>
      </c>
      <c r="F562" s="1" t="str">
        <f t="shared" si="57"/>
        <v>Aug</v>
      </c>
      <c r="G562" s="6" t="s">
        <v>23</v>
      </c>
      <c r="H562" s="5">
        <v>9748.4599999999991</v>
      </c>
      <c r="I562" s="5" t="str">
        <f>IF(fin_table[[#This Row],[Account Balance]]&lt;20000,"Active", "Not Active")</f>
        <v>Active</v>
      </c>
      <c r="J562" s="5">
        <v>11559.54</v>
      </c>
      <c r="K562" s="5" t="str">
        <f t="shared" si="58"/>
        <v>Medium</v>
      </c>
      <c r="L562" s="6" t="s">
        <v>49</v>
      </c>
      <c r="M562">
        <v>47</v>
      </c>
      <c r="N562" s="6" t="str">
        <f t="shared" si="59"/>
        <v>Older Adults</v>
      </c>
      <c r="O562" s="6" t="s">
        <v>42</v>
      </c>
      <c r="P562" s="6" t="s">
        <v>36</v>
      </c>
      <c r="Q562" t="s">
        <v>280</v>
      </c>
      <c r="R562" s="6" t="s">
        <v>38</v>
      </c>
      <c r="S562" s="6" t="s">
        <v>62</v>
      </c>
      <c r="T562" s="14">
        <v>3.5400000000000001E-2</v>
      </c>
      <c r="U562">
        <v>3.54</v>
      </c>
      <c r="V562" t="str">
        <f>IF(fin_table[[#This Row],[Interest Rate(%)]]&gt;4,"high","low")</f>
        <v>low</v>
      </c>
      <c r="W562" s="5">
        <v>19337.2</v>
      </c>
      <c r="X562" s="5">
        <f>fin_table[[#This Row],[Interest Rate]]*fin_table[[#This Row],[Loan Amount]]</f>
        <v>684.53688</v>
      </c>
      <c r="Y562">
        <v>13</v>
      </c>
      <c r="Z562" s="3">
        <v>679</v>
      </c>
      <c r="AA562" s="3" t="str">
        <f t="shared" si="60"/>
        <v>Good</v>
      </c>
      <c r="AB562" s="3" cm="1">
        <f t="array" ref="AB562">_xlfn.IFS(fin_table[[#This Row],[Transaction Status]]="Failed", 1, fin_table[[#This Row],[Transaction Status]]="Completed",0,fin_table[[#This Row],[Transaction Status]]="Pending",2)</f>
        <v>2</v>
      </c>
      <c r="AC562" s="3" t="str">
        <f>IF(fin_table[[#This Row],[Loan Defaulters]]=1,"Default", "Good")</f>
        <v>Good</v>
      </c>
      <c r="AD562" s="3">
        <f t="shared" si="61"/>
        <v>3</v>
      </c>
      <c r="AE562" s="4">
        <v>5245.85</v>
      </c>
      <c r="AF562" s="4" t="str">
        <f>IF(fin_table[[#This Row],[Monthly Income]]&lt;3000, "Low Income", IF(fin_table[[#This Row],[Monthly Income]]&lt;=5000, "Middle Income", "High Income"))</f>
        <v>High Income</v>
      </c>
      <c r="AG562" t="s">
        <v>45</v>
      </c>
      <c r="AH562" t="s">
        <v>3636</v>
      </c>
      <c r="AI562" t="str">
        <f t="shared" si="62"/>
        <v>Low-Risk</v>
      </c>
    </row>
    <row r="563" spans="1:35" x14ac:dyDescent="0.35">
      <c r="A563" t="s">
        <v>2126</v>
      </c>
      <c r="B563" t="s">
        <v>2127</v>
      </c>
      <c r="C563" t="s">
        <v>2128</v>
      </c>
      <c r="D563" s="1">
        <v>44604</v>
      </c>
      <c r="E563" s="1" t="str">
        <f t="shared" si="56"/>
        <v>12</v>
      </c>
      <c r="F563" s="1" t="str">
        <f t="shared" si="57"/>
        <v>Feb</v>
      </c>
      <c r="G563" s="6" t="s">
        <v>23</v>
      </c>
      <c r="H563" s="5">
        <v>616.77</v>
      </c>
      <c r="I563" s="5" t="str">
        <f>IF(fin_table[[#This Row],[Account Balance]]&lt;20000,"Active", "Not Active")</f>
        <v>Active</v>
      </c>
      <c r="J563" s="5">
        <v>17464.349999999999</v>
      </c>
      <c r="K563" s="5" t="str">
        <f t="shared" si="58"/>
        <v>Medium</v>
      </c>
      <c r="L563" s="6" t="s">
        <v>35</v>
      </c>
      <c r="M563">
        <v>62</v>
      </c>
      <c r="N563" s="6" t="str">
        <f t="shared" si="59"/>
        <v>Seniors</v>
      </c>
      <c r="O563" s="6" t="s">
        <v>42</v>
      </c>
      <c r="P563" s="6" t="s">
        <v>26</v>
      </c>
      <c r="Q563" t="s">
        <v>414</v>
      </c>
      <c r="R563" s="6" t="s">
        <v>28</v>
      </c>
      <c r="S563" s="6" t="s">
        <v>44</v>
      </c>
      <c r="T563" s="14">
        <v>4.2700000000000002E-2</v>
      </c>
      <c r="U563">
        <v>4.2699999999999996</v>
      </c>
      <c r="V563" t="str">
        <f>IF(fin_table[[#This Row],[Interest Rate(%)]]&gt;4,"high","low")</f>
        <v>high</v>
      </c>
      <c r="W563" s="5">
        <v>45263.71</v>
      </c>
      <c r="X563" s="5">
        <f>fin_table[[#This Row],[Interest Rate]]*fin_table[[#This Row],[Loan Amount]]</f>
        <v>1932.760417</v>
      </c>
      <c r="Y563">
        <v>13</v>
      </c>
      <c r="Z563" s="3">
        <v>599</v>
      </c>
      <c r="AA563" s="3" t="str">
        <f t="shared" si="60"/>
        <v>Fair</v>
      </c>
      <c r="AB563" s="3" cm="1">
        <f t="array" ref="AB563">_xlfn.IFS(fin_table[[#This Row],[Transaction Status]]="Failed", 1, fin_table[[#This Row],[Transaction Status]]="Completed",0,fin_table[[#This Row],[Transaction Status]]="Pending",2)</f>
        <v>0</v>
      </c>
      <c r="AC563" s="3" t="str">
        <f>IF(fin_table[[#This Row],[Loan Defaulters]]=1,"Default", "Good")</f>
        <v>Good</v>
      </c>
      <c r="AD563" s="3">
        <f t="shared" si="61"/>
        <v>2</v>
      </c>
      <c r="AE563" s="4">
        <v>9915.76</v>
      </c>
      <c r="AF563" s="4" t="str">
        <f>IF(fin_table[[#This Row],[Monthly Income]]&lt;3000, "Low Income", IF(fin_table[[#This Row],[Monthly Income]]&lt;=5000, "Middle Income", "High Income"))</f>
        <v>High Income</v>
      </c>
      <c r="AG563" t="s">
        <v>30</v>
      </c>
      <c r="AH563" t="s">
        <v>3636</v>
      </c>
      <c r="AI563" t="str">
        <f t="shared" si="62"/>
        <v>High-Risk</v>
      </c>
    </row>
    <row r="564" spans="1:35" x14ac:dyDescent="0.35">
      <c r="A564" t="s">
        <v>2129</v>
      </c>
      <c r="B564" t="s">
        <v>858</v>
      </c>
      <c r="C564" t="s">
        <v>2130</v>
      </c>
      <c r="D564" s="1">
        <v>44737</v>
      </c>
      <c r="E564" s="1" t="str">
        <f t="shared" si="56"/>
        <v>25</v>
      </c>
      <c r="F564" s="1" t="str">
        <f t="shared" si="57"/>
        <v>Jun</v>
      </c>
      <c r="G564" s="6" t="s">
        <v>56</v>
      </c>
      <c r="H564" s="5">
        <v>6853.72</v>
      </c>
      <c r="I564" s="5" t="str">
        <f>IF(fin_table[[#This Row],[Account Balance]]&lt;20000,"Active", "Not Active")</f>
        <v>Not Active</v>
      </c>
      <c r="J564" s="5">
        <v>23818.44</v>
      </c>
      <c r="K564" s="5" t="str">
        <f t="shared" si="58"/>
        <v>Medium</v>
      </c>
      <c r="L564" s="6" t="s">
        <v>35</v>
      </c>
      <c r="M564">
        <v>35</v>
      </c>
      <c r="N564" s="6" t="str">
        <f t="shared" si="59"/>
        <v>Adults</v>
      </c>
      <c r="O564" s="6" t="s">
        <v>25</v>
      </c>
      <c r="P564" s="6" t="s">
        <v>50</v>
      </c>
      <c r="Q564" t="s">
        <v>2131</v>
      </c>
      <c r="R564" s="6" t="s">
        <v>28</v>
      </c>
      <c r="S564" s="6" t="s">
        <v>44</v>
      </c>
      <c r="T564" s="14">
        <v>3.56E-2</v>
      </c>
      <c r="U564">
        <v>3.56</v>
      </c>
      <c r="V564" t="str">
        <f>IF(fin_table[[#This Row],[Interest Rate(%)]]&gt;4,"high","low")</f>
        <v>low</v>
      </c>
      <c r="W564" s="5">
        <v>26681.654999999999</v>
      </c>
      <c r="X564" s="5">
        <f>fin_table[[#This Row],[Interest Rate]]*fin_table[[#This Row],[Loan Amount]]</f>
        <v>949.86691799999994</v>
      </c>
      <c r="Y564">
        <v>10</v>
      </c>
      <c r="Z564" s="3">
        <v>548</v>
      </c>
      <c r="AA564" s="3" t="str">
        <f t="shared" si="60"/>
        <v>Poor</v>
      </c>
      <c r="AB564" s="3" cm="1">
        <f t="array" ref="AB564">_xlfn.IFS(fin_table[[#This Row],[Transaction Status]]="Failed", 1, fin_table[[#This Row],[Transaction Status]]="Completed",0,fin_table[[#This Row],[Transaction Status]]="Pending",2)</f>
        <v>0</v>
      </c>
      <c r="AC564" s="3" t="str">
        <f>IF(fin_table[[#This Row],[Loan Defaulters]]=1,"Default", "Good")</f>
        <v>Good</v>
      </c>
      <c r="AD564" s="3">
        <f t="shared" si="61"/>
        <v>1</v>
      </c>
      <c r="AE564" s="4">
        <v>10941.05</v>
      </c>
      <c r="AF564" s="4" t="str">
        <f>IF(fin_table[[#This Row],[Monthly Income]]&lt;3000, "Low Income", IF(fin_table[[#This Row],[Monthly Income]]&lt;=5000, "Middle Income", "High Income"))</f>
        <v>High Income</v>
      </c>
      <c r="AG564" t="s">
        <v>30</v>
      </c>
      <c r="AH564" t="s">
        <v>3635</v>
      </c>
      <c r="AI564" t="str">
        <f t="shared" si="62"/>
        <v>Low-Risk</v>
      </c>
    </row>
    <row r="565" spans="1:35" x14ac:dyDescent="0.35">
      <c r="A565" t="s">
        <v>2132</v>
      </c>
      <c r="B565" t="s">
        <v>2133</v>
      </c>
      <c r="C565" t="s">
        <v>2134</v>
      </c>
      <c r="D565" s="1">
        <v>44595</v>
      </c>
      <c r="E565" s="1" t="str">
        <f t="shared" si="56"/>
        <v>03</v>
      </c>
      <c r="F565" s="1" t="str">
        <f t="shared" si="57"/>
        <v>Feb</v>
      </c>
      <c r="G565" s="6" t="s">
        <v>23</v>
      </c>
      <c r="H565" s="5">
        <v>4734.7299999999996</v>
      </c>
      <c r="I565" s="5" t="str">
        <f>IF(fin_table[[#This Row],[Account Balance]]&lt;20000,"Active", "Not Active")</f>
        <v>Not Active</v>
      </c>
      <c r="J565" s="5">
        <v>38895.67</v>
      </c>
      <c r="K565" s="5" t="str">
        <f t="shared" si="58"/>
        <v>Medium</v>
      </c>
      <c r="L565" s="6" t="s">
        <v>24</v>
      </c>
      <c r="M565">
        <v>31</v>
      </c>
      <c r="N565" s="6" t="str">
        <f t="shared" si="59"/>
        <v>Adults</v>
      </c>
      <c r="O565" s="6" t="s">
        <v>42</v>
      </c>
      <c r="P565" s="6" t="s">
        <v>36</v>
      </c>
      <c r="Q565" t="s">
        <v>344</v>
      </c>
      <c r="R565" s="6" t="s">
        <v>52</v>
      </c>
      <c r="S565" s="6" t="s">
        <v>44</v>
      </c>
      <c r="T565" s="14">
        <v>2.24E-2</v>
      </c>
      <c r="U565">
        <v>2.2400000000000002</v>
      </c>
      <c r="V565" t="str">
        <f>IF(fin_table[[#This Row],[Interest Rate(%)]]&gt;4,"high","low")</f>
        <v>low</v>
      </c>
      <c r="W565" s="5">
        <v>26681.654999999999</v>
      </c>
      <c r="X565" s="5">
        <f>fin_table[[#This Row],[Interest Rate]]*fin_table[[#This Row],[Loan Amount]]</f>
        <v>597.66907199999991</v>
      </c>
      <c r="Y565">
        <v>13</v>
      </c>
      <c r="Z565" s="3">
        <v>820</v>
      </c>
      <c r="AA565" s="3" t="str">
        <f t="shared" si="60"/>
        <v>Excellent</v>
      </c>
      <c r="AB565" s="3" cm="1">
        <f t="array" ref="AB565">_xlfn.IFS(fin_table[[#This Row],[Transaction Status]]="Failed", 1, fin_table[[#This Row],[Transaction Status]]="Completed",0,fin_table[[#This Row],[Transaction Status]]="Pending",2)</f>
        <v>0</v>
      </c>
      <c r="AC565" s="3" t="str">
        <f>IF(fin_table[[#This Row],[Loan Defaulters]]=1,"Default", "Good")</f>
        <v>Good</v>
      </c>
      <c r="AD565" s="3">
        <f t="shared" si="61"/>
        <v>5</v>
      </c>
      <c r="AE565" s="4">
        <v>8126.08</v>
      </c>
      <c r="AF565" s="4" t="str">
        <f>IF(fin_table[[#This Row],[Monthly Income]]&lt;3000, "Low Income", IF(fin_table[[#This Row],[Monthly Income]]&lt;=5000, "Middle Income", "High Income"))</f>
        <v>High Income</v>
      </c>
      <c r="AG565" t="s">
        <v>30</v>
      </c>
      <c r="AH565" t="s">
        <v>3635</v>
      </c>
      <c r="AI565" t="str">
        <f t="shared" si="62"/>
        <v>Low-Risk</v>
      </c>
    </row>
    <row r="566" spans="1:35" x14ac:dyDescent="0.35">
      <c r="A566" t="s">
        <v>2135</v>
      </c>
      <c r="B566" t="s">
        <v>2136</v>
      </c>
      <c r="C566" t="s">
        <v>2137</v>
      </c>
      <c r="D566" s="1">
        <v>45067</v>
      </c>
      <c r="E566" s="1" t="str">
        <f t="shared" si="56"/>
        <v>21</v>
      </c>
      <c r="F566" s="1" t="str">
        <f t="shared" si="57"/>
        <v>May</v>
      </c>
      <c r="G566" s="6" t="s">
        <v>23</v>
      </c>
      <c r="H566" s="5">
        <v>5833.84</v>
      </c>
      <c r="I566" s="5" t="str">
        <f>IF(fin_table[[#This Row],[Account Balance]]&lt;20000,"Active", "Not Active")</f>
        <v>Not Active</v>
      </c>
      <c r="J566" s="5">
        <v>45833.33</v>
      </c>
      <c r="K566" s="5" t="str">
        <f t="shared" si="58"/>
        <v>Medium</v>
      </c>
      <c r="L566" s="6" t="s">
        <v>49</v>
      </c>
      <c r="M566">
        <v>53</v>
      </c>
      <c r="N566" s="6" t="str">
        <f t="shared" si="59"/>
        <v>Older Adults</v>
      </c>
      <c r="O566" s="6" t="s">
        <v>25</v>
      </c>
      <c r="P566" s="6" t="s">
        <v>26</v>
      </c>
      <c r="Q566" t="s">
        <v>1656</v>
      </c>
      <c r="R566" s="6" t="s">
        <v>52</v>
      </c>
      <c r="S566" s="6" t="s">
        <v>62</v>
      </c>
      <c r="T566" s="14">
        <v>3.6200000000000003E-2</v>
      </c>
      <c r="U566">
        <v>3.62</v>
      </c>
      <c r="V566" t="str">
        <f>IF(fin_table[[#This Row],[Interest Rate(%)]]&gt;4,"high","low")</f>
        <v>low</v>
      </c>
      <c r="W566" s="5">
        <v>26681.654999999999</v>
      </c>
      <c r="X566" s="5">
        <f>fin_table[[#This Row],[Interest Rate]]*fin_table[[#This Row],[Loan Amount]]</f>
        <v>965.87591100000009</v>
      </c>
      <c r="Y566">
        <v>13</v>
      </c>
      <c r="Z566" s="3">
        <v>333</v>
      </c>
      <c r="AA566" s="3" t="str">
        <f t="shared" si="60"/>
        <v>Poor</v>
      </c>
      <c r="AB566" s="3" cm="1">
        <f t="array" ref="AB566">_xlfn.IFS(fin_table[[#This Row],[Transaction Status]]="Failed", 1, fin_table[[#This Row],[Transaction Status]]="Completed",0,fin_table[[#This Row],[Transaction Status]]="Pending",2)</f>
        <v>2</v>
      </c>
      <c r="AC566" s="3" t="str">
        <f>IF(fin_table[[#This Row],[Loan Defaulters]]=1,"Default", "Good")</f>
        <v>Good</v>
      </c>
      <c r="AD566" s="3">
        <f t="shared" si="61"/>
        <v>1</v>
      </c>
      <c r="AE566" s="4">
        <v>13392.58</v>
      </c>
      <c r="AF566" s="4" t="str">
        <f>IF(fin_table[[#This Row],[Monthly Income]]&lt;3000, "Low Income", IF(fin_table[[#This Row],[Monthly Income]]&lt;=5000, "Middle Income", "High Income"))</f>
        <v>High Income</v>
      </c>
      <c r="AG566" t="s">
        <v>45</v>
      </c>
      <c r="AH566" t="s">
        <v>3635</v>
      </c>
      <c r="AI566" t="str">
        <f t="shared" si="62"/>
        <v>Low-Risk</v>
      </c>
    </row>
    <row r="567" spans="1:35" x14ac:dyDescent="0.35">
      <c r="A567" t="s">
        <v>2138</v>
      </c>
      <c r="B567" t="s">
        <v>2139</v>
      </c>
      <c r="C567" t="s">
        <v>2140</v>
      </c>
      <c r="D567" s="1">
        <v>44855</v>
      </c>
      <c r="E567" s="1" t="str">
        <f t="shared" si="56"/>
        <v>21</v>
      </c>
      <c r="F567" s="1" t="str">
        <f t="shared" si="57"/>
        <v>Oct</v>
      </c>
      <c r="G567" s="6" t="s">
        <v>34</v>
      </c>
      <c r="H567" s="5">
        <v>944.88</v>
      </c>
      <c r="I567" s="5" t="str">
        <f>IF(fin_table[[#This Row],[Account Balance]]&lt;20000,"Active", "Not Active")</f>
        <v>Active</v>
      </c>
      <c r="J567" s="5">
        <v>10267.82</v>
      </c>
      <c r="K567" s="5" t="str">
        <f t="shared" si="58"/>
        <v>Medium</v>
      </c>
      <c r="L567" s="6" t="s">
        <v>35</v>
      </c>
      <c r="M567">
        <v>53</v>
      </c>
      <c r="N567" s="6" t="str">
        <f t="shared" si="59"/>
        <v>Older Adults</v>
      </c>
      <c r="O567" s="6" t="s">
        <v>42</v>
      </c>
      <c r="P567" s="6" t="s">
        <v>36</v>
      </c>
      <c r="Q567" t="s">
        <v>1217</v>
      </c>
      <c r="R567" s="6" t="s">
        <v>38</v>
      </c>
      <c r="S567" s="6" t="s">
        <v>29</v>
      </c>
      <c r="T567" s="14">
        <v>1.84E-2</v>
      </c>
      <c r="U567">
        <v>1.84</v>
      </c>
      <c r="V567" t="str">
        <f>IF(fin_table[[#This Row],[Interest Rate(%)]]&gt;4,"high","low")</f>
        <v>low</v>
      </c>
      <c r="W567" s="5">
        <v>26681.654999999999</v>
      </c>
      <c r="X567" s="5">
        <f>fin_table[[#This Row],[Interest Rate]]*fin_table[[#This Row],[Loan Amount]]</f>
        <v>490.94245199999995</v>
      </c>
      <c r="Y567">
        <v>13</v>
      </c>
      <c r="Z567" s="3">
        <v>527</v>
      </c>
      <c r="AA567" s="3" t="str">
        <f t="shared" si="60"/>
        <v>Poor</v>
      </c>
      <c r="AB567" s="3" cm="1">
        <f t="array" ref="AB567">_xlfn.IFS(fin_table[[#This Row],[Transaction Status]]="Failed", 1, fin_table[[#This Row],[Transaction Status]]="Completed",0,fin_table[[#This Row],[Transaction Status]]="Pending",2)</f>
        <v>1</v>
      </c>
      <c r="AC567" s="3" t="str">
        <f>IF(fin_table[[#This Row],[Loan Defaulters]]=1,"Default", "Good")</f>
        <v>Default</v>
      </c>
      <c r="AD567" s="3">
        <f t="shared" si="61"/>
        <v>1</v>
      </c>
      <c r="AE567" s="4">
        <v>7769.33</v>
      </c>
      <c r="AF567" s="4" t="str">
        <f>IF(fin_table[[#This Row],[Monthly Income]]&lt;3000, "Low Income", IF(fin_table[[#This Row],[Monthly Income]]&lt;=5000, "Middle Income", "High Income"))</f>
        <v>High Income</v>
      </c>
      <c r="AG567" t="s">
        <v>30</v>
      </c>
      <c r="AH567" t="s">
        <v>3635</v>
      </c>
      <c r="AI567" t="str">
        <f t="shared" si="62"/>
        <v>Low-Risk</v>
      </c>
    </row>
    <row r="568" spans="1:35" x14ac:dyDescent="0.35">
      <c r="A568" t="s">
        <v>2141</v>
      </c>
      <c r="B568" t="s">
        <v>2142</v>
      </c>
      <c r="C568" t="s">
        <v>2143</v>
      </c>
      <c r="D568" s="1">
        <v>44892</v>
      </c>
      <c r="E568" s="1" t="str">
        <f t="shared" si="56"/>
        <v>27</v>
      </c>
      <c r="F568" s="1" t="str">
        <f t="shared" si="57"/>
        <v>Nov</v>
      </c>
      <c r="G568" s="6" t="s">
        <v>34</v>
      </c>
      <c r="H568" s="5">
        <v>525.77</v>
      </c>
      <c r="I568" s="5" t="str">
        <f>IF(fin_table[[#This Row],[Account Balance]]&lt;20000,"Active", "Not Active")</f>
        <v>Not Active</v>
      </c>
      <c r="J568" s="5">
        <v>46196.01</v>
      </c>
      <c r="K568" s="5" t="str">
        <f t="shared" si="58"/>
        <v>Medium</v>
      </c>
      <c r="L568" s="6" t="s">
        <v>49</v>
      </c>
      <c r="M568">
        <v>37</v>
      </c>
      <c r="N568" s="6" t="str">
        <f t="shared" si="59"/>
        <v>Middle-Aged</v>
      </c>
      <c r="O568" s="6" t="s">
        <v>42</v>
      </c>
      <c r="P568" s="6" t="s">
        <v>26</v>
      </c>
      <c r="Q568" t="s">
        <v>2144</v>
      </c>
      <c r="R568" s="6" t="s">
        <v>38</v>
      </c>
      <c r="S568" s="6" t="s">
        <v>44</v>
      </c>
      <c r="T568" s="14">
        <v>2.2700000000000001E-2</v>
      </c>
      <c r="U568">
        <v>2.27</v>
      </c>
      <c r="V568" t="str">
        <f>IF(fin_table[[#This Row],[Interest Rate(%)]]&gt;4,"high","low")</f>
        <v>low</v>
      </c>
      <c r="W568" s="5">
        <v>26681.654999999999</v>
      </c>
      <c r="X568" s="5">
        <f>fin_table[[#This Row],[Interest Rate]]*fin_table[[#This Row],[Loan Amount]]</f>
        <v>605.67356849999999</v>
      </c>
      <c r="Y568">
        <v>13</v>
      </c>
      <c r="Z568" s="3">
        <v>698</v>
      </c>
      <c r="AA568" s="3" t="str">
        <f t="shared" si="60"/>
        <v>Good</v>
      </c>
      <c r="AB568" s="3" cm="1">
        <f t="array" ref="AB568">_xlfn.IFS(fin_table[[#This Row],[Transaction Status]]="Failed", 1, fin_table[[#This Row],[Transaction Status]]="Completed",0,fin_table[[#This Row],[Transaction Status]]="Pending",2)</f>
        <v>0</v>
      </c>
      <c r="AC568" s="3" t="str">
        <f>IF(fin_table[[#This Row],[Loan Defaulters]]=1,"Default", "Good")</f>
        <v>Good</v>
      </c>
      <c r="AD568" s="3">
        <f t="shared" si="61"/>
        <v>3</v>
      </c>
      <c r="AE568" s="4">
        <v>5703.81</v>
      </c>
      <c r="AF568" s="4" t="str">
        <f>IF(fin_table[[#This Row],[Monthly Income]]&lt;3000, "Low Income", IF(fin_table[[#This Row],[Monthly Income]]&lt;=5000, "Middle Income", "High Income"))</f>
        <v>High Income</v>
      </c>
      <c r="AG568" t="s">
        <v>63</v>
      </c>
      <c r="AH568" t="s">
        <v>3635</v>
      </c>
      <c r="AI568" t="str">
        <f t="shared" si="62"/>
        <v>Low-Risk</v>
      </c>
    </row>
    <row r="569" spans="1:35" x14ac:dyDescent="0.35">
      <c r="A569" t="s">
        <v>2145</v>
      </c>
      <c r="B569" t="s">
        <v>2146</v>
      </c>
      <c r="C569" t="s">
        <v>2147</v>
      </c>
      <c r="D569" s="1">
        <v>44998</v>
      </c>
      <c r="E569" s="1" t="str">
        <f t="shared" si="56"/>
        <v>13</v>
      </c>
      <c r="F569" s="1" t="str">
        <f t="shared" si="57"/>
        <v>Mar</v>
      </c>
      <c r="G569" s="6" t="s">
        <v>56</v>
      </c>
      <c r="H569" s="5">
        <v>6701.98</v>
      </c>
      <c r="I569" s="5" t="str">
        <f>IF(fin_table[[#This Row],[Account Balance]]&lt;20000,"Active", "Not Active")</f>
        <v>Not Active</v>
      </c>
      <c r="J569" s="5">
        <v>35085.61</v>
      </c>
      <c r="K569" s="5" t="str">
        <f t="shared" si="58"/>
        <v>Medium</v>
      </c>
      <c r="L569" s="6" t="s">
        <v>35</v>
      </c>
      <c r="M569">
        <v>69</v>
      </c>
      <c r="N569" s="6" t="str">
        <f t="shared" si="59"/>
        <v>Seniors</v>
      </c>
      <c r="O569" s="6" t="s">
        <v>42</v>
      </c>
      <c r="P569" s="6" t="s">
        <v>26</v>
      </c>
      <c r="Q569" t="s">
        <v>694</v>
      </c>
      <c r="R569" s="6" t="s">
        <v>28</v>
      </c>
      <c r="S569" s="6" t="s">
        <v>62</v>
      </c>
      <c r="T569" s="14">
        <v>1.9599999999999999E-2</v>
      </c>
      <c r="U569">
        <v>1.96</v>
      </c>
      <c r="V569" t="str">
        <f>IF(fin_table[[#This Row],[Interest Rate(%)]]&gt;4,"high","low")</f>
        <v>low</v>
      </c>
      <c r="W569" s="5">
        <v>37878.660000000003</v>
      </c>
      <c r="X569" s="5">
        <f>fin_table[[#This Row],[Interest Rate]]*fin_table[[#This Row],[Loan Amount]]</f>
        <v>742.42173600000001</v>
      </c>
      <c r="Y569">
        <v>12</v>
      </c>
      <c r="Z569" s="3">
        <v>519</v>
      </c>
      <c r="AA569" s="3" t="str">
        <f t="shared" si="60"/>
        <v>Poor</v>
      </c>
      <c r="AB569" s="3" cm="1">
        <f t="array" ref="AB569">_xlfn.IFS(fin_table[[#This Row],[Transaction Status]]="Failed", 1, fin_table[[#This Row],[Transaction Status]]="Completed",0,fin_table[[#This Row],[Transaction Status]]="Pending",2)</f>
        <v>2</v>
      </c>
      <c r="AC569" s="3" t="str">
        <f>IF(fin_table[[#This Row],[Loan Defaulters]]=1,"Default", "Good")</f>
        <v>Good</v>
      </c>
      <c r="AD569" s="3">
        <f t="shared" si="61"/>
        <v>1</v>
      </c>
      <c r="AE569" s="4">
        <v>13648.2</v>
      </c>
      <c r="AF569" s="4" t="str">
        <f>IF(fin_table[[#This Row],[Monthly Income]]&lt;3000, "Low Income", IF(fin_table[[#This Row],[Monthly Income]]&lt;=5000, "Middle Income", "High Income"))</f>
        <v>High Income</v>
      </c>
      <c r="AG569" t="s">
        <v>30</v>
      </c>
      <c r="AH569" t="s">
        <v>3636</v>
      </c>
      <c r="AI569" t="str">
        <f t="shared" si="62"/>
        <v>High-Risk</v>
      </c>
    </row>
    <row r="570" spans="1:35" x14ac:dyDescent="0.35">
      <c r="A570" t="s">
        <v>2148</v>
      </c>
      <c r="B570" t="s">
        <v>2149</v>
      </c>
      <c r="C570" t="s">
        <v>2150</v>
      </c>
      <c r="D570" s="1">
        <v>44719</v>
      </c>
      <c r="E570" s="1" t="str">
        <f t="shared" si="56"/>
        <v>07</v>
      </c>
      <c r="F570" s="1" t="str">
        <f t="shared" si="57"/>
        <v>Jun</v>
      </c>
      <c r="G570" s="6" t="s">
        <v>71</v>
      </c>
      <c r="H570" s="5">
        <v>8250.76</v>
      </c>
      <c r="I570" s="5" t="str">
        <f>IF(fin_table[[#This Row],[Account Balance]]&lt;20000,"Active", "Not Active")</f>
        <v>Not Active</v>
      </c>
      <c r="J570" s="5">
        <v>30927.77</v>
      </c>
      <c r="K570" s="5" t="str">
        <f t="shared" si="58"/>
        <v>Medium</v>
      </c>
      <c r="L570" s="6" t="s">
        <v>100</v>
      </c>
      <c r="M570">
        <v>36</v>
      </c>
      <c r="N570" s="6" t="str">
        <f t="shared" si="59"/>
        <v>Middle-Aged</v>
      </c>
      <c r="O570" s="6" t="s">
        <v>42</v>
      </c>
      <c r="P570" s="6" t="s">
        <v>36</v>
      </c>
      <c r="Q570" t="s">
        <v>2151</v>
      </c>
      <c r="R570" s="6" t="s">
        <v>28</v>
      </c>
      <c r="S570" s="6" t="s">
        <v>62</v>
      </c>
      <c r="T570" s="14">
        <v>3.2300000000000002E-2</v>
      </c>
      <c r="U570">
        <v>3.23</v>
      </c>
      <c r="V570" t="str">
        <f>IF(fin_table[[#This Row],[Interest Rate(%)]]&gt;4,"high","low")</f>
        <v>low</v>
      </c>
      <c r="W570" s="5">
        <v>42463.78</v>
      </c>
      <c r="X570" s="5">
        <f>fin_table[[#This Row],[Interest Rate]]*fin_table[[#This Row],[Loan Amount]]</f>
        <v>1371.5800940000001</v>
      </c>
      <c r="Y570">
        <v>13</v>
      </c>
      <c r="Z570" s="3">
        <v>670</v>
      </c>
      <c r="AA570" s="3" t="str">
        <f t="shared" si="60"/>
        <v>Good</v>
      </c>
      <c r="AB570" s="3" cm="1">
        <f t="array" ref="AB570">_xlfn.IFS(fin_table[[#This Row],[Transaction Status]]="Failed", 1, fin_table[[#This Row],[Transaction Status]]="Completed",0,fin_table[[#This Row],[Transaction Status]]="Pending",2)</f>
        <v>2</v>
      </c>
      <c r="AC570" s="3" t="str">
        <f>IF(fin_table[[#This Row],[Loan Defaulters]]=1,"Default", "Good")</f>
        <v>Good</v>
      </c>
      <c r="AD570" s="3">
        <f t="shared" si="61"/>
        <v>3</v>
      </c>
      <c r="AE570" s="4">
        <v>13200.34</v>
      </c>
      <c r="AF570" s="4" t="str">
        <f>IF(fin_table[[#This Row],[Monthly Income]]&lt;3000, "Low Income", IF(fin_table[[#This Row],[Monthly Income]]&lt;=5000, "Middle Income", "High Income"))</f>
        <v>High Income</v>
      </c>
      <c r="AG570" t="s">
        <v>30</v>
      </c>
      <c r="AH570" t="s">
        <v>3636</v>
      </c>
      <c r="AI570" t="str">
        <f t="shared" si="62"/>
        <v>Low-Risk</v>
      </c>
    </row>
    <row r="571" spans="1:35" x14ac:dyDescent="0.35">
      <c r="A571" t="s">
        <v>2152</v>
      </c>
      <c r="B571" t="s">
        <v>2153</v>
      </c>
      <c r="C571" t="s">
        <v>2154</v>
      </c>
      <c r="D571" s="1">
        <v>44700</v>
      </c>
      <c r="E571" s="1" t="str">
        <f t="shared" si="56"/>
        <v>19</v>
      </c>
      <c r="F571" s="1" t="str">
        <f t="shared" si="57"/>
        <v>May</v>
      </c>
      <c r="G571" s="6" t="s">
        <v>34</v>
      </c>
      <c r="H571" s="5">
        <v>7841.95</v>
      </c>
      <c r="I571" s="5" t="str">
        <f>IF(fin_table[[#This Row],[Account Balance]]&lt;20000,"Active", "Not Active")</f>
        <v>Active</v>
      </c>
      <c r="J571" s="5">
        <v>10792.22</v>
      </c>
      <c r="K571" s="5" t="str">
        <f t="shared" si="58"/>
        <v>Medium</v>
      </c>
      <c r="L571" s="6" t="s">
        <v>125</v>
      </c>
      <c r="M571">
        <v>62</v>
      </c>
      <c r="N571" s="6" t="str">
        <f t="shared" si="59"/>
        <v>Seniors</v>
      </c>
      <c r="O571" s="6" t="s">
        <v>42</v>
      </c>
      <c r="P571" s="6" t="s">
        <v>36</v>
      </c>
      <c r="Q571" t="s">
        <v>2155</v>
      </c>
      <c r="R571" s="6" t="s">
        <v>52</v>
      </c>
      <c r="S571" s="6" t="s">
        <v>62</v>
      </c>
      <c r="T571" s="14">
        <v>1.43E-2</v>
      </c>
      <c r="U571">
        <v>1.43</v>
      </c>
      <c r="V571" t="str">
        <f>IF(fin_table[[#This Row],[Interest Rate(%)]]&gt;4,"high","low")</f>
        <v>low</v>
      </c>
      <c r="W571" s="5">
        <v>37166.480000000003</v>
      </c>
      <c r="X571" s="5">
        <f>fin_table[[#This Row],[Interest Rate]]*fin_table[[#This Row],[Loan Amount]]</f>
        <v>531.48066400000005</v>
      </c>
      <c r="Y571">
        <v>13</v>
      </c>
      <c r="Z571" s="3">
        <v>827</v>
      </c>
      <c r="AA571" s="3" t="str">
        <f t="shared" si="60"/>
        <v>Excellent</v>
      </c>
      <c r="AB571" s="3" cm="1">
        <f t="array" ref="AB571">_xlfn.IFS(fin_table[[#This Row],[Transaction Status]]="Failed", 1, fin_table[[#This Row],[Transaction Status]]="Completed",0,fin_table[[#This Row],[Transaction Status]]="Pending",2)</f>
        <v>2</v>
      </c>
      <c r="AC571" s="3" t="str">
        <f>IF(fin_table[[#This Row],[Loan Defaulters]]=1,"Default", "Good")</f>
        <v>Good</v>
      </c>
      <c r="AD571" s="3">
        <f t="shared" si="61"/>
        <v>5</v>
      </c>
      <c r="AE571" s="4">
        <v>4132.5200000000004</v>
      </c>
      <c r="AF571" s="4" t="str">
        <f>IF(fin_table[[#This Row],[Monthly Income]]&lt;3000, "Low Income", IF(fin_table[[#This Row],[Monthly Income]]&lt;=5000, "Middle Income", "High Income"))</f>
        <v>Middle Income</v>
      </c>
      <c r="AG571" t="s">
        <v>45</v>
      </c>
      <c r="AH571" t="s">
        <v>3636</v>
      </c>
      <c r="AI571" t="str">
        <f t="shared" si="62"/>
        <v>Low-Risk</v>
      </c>
    </row>
    <row r="572" spans="1:35" x14ac:dyDescent="0.35">
      <c r="A572" t="s">
        <v>2156</v>
      </c>
      <c r="B572" t="s">
        <v>2157</v>
      </c>
      <c r="C572" t="s">
        <v>2158</v>
      </c>
      <c r="D572" s="1">
        <v>44861</v>
      </c>
      <c r="E572" s="1" t="str">
        <f t="shared" si="56"/>
        <v>27</v>
      </c>
      <c r="F572" s="1" t="str">
        <f t="shared" si="57"/>
        <v>Oct</v>
      </c>
      <c r="G572" s="6" t="s">
        <v>71</v>
      </c>
      <c r="H572" s="5">
        <v>5483.68</v>
      </c>
      <c r="I572" s="5" t="str">
        <f>IF(fin_table[[#This Row],[Account Balance]]&lt;20000,"Active", "Not Active")</f>
        <v>Active</v>
      </c>
      <c r="J572" s="5">
        <v>3720.73</v>
      </c>
      <c r="K572" s="5" t="str">
        <f t="shared" si="58"/>
        <v>Low</v>
      </c>
      <c r="L572" s="6" t="s">
        <v>100</v>
      </c>
      <c r="M572">
        <v>61</v>
      </c>
      <c r="N572" s="6" t="str">
        <f t="shared" si="59"/>
        <v>Seniors</v>
      </c>
      <c r="O572" s="6" t="s">
        <v>42</v>
      </c>
      <c r="P572" s="6" t="s">
        <v>26</v>
      </c>
      <c r="Q572" t="s">
        <v>2159</v>
      </c>
      <c r="R572" s="6" t="s">
        <v>52</v>
      </c>
      <c r="S572" s="6" t="s">
        <v>44</v>
      </c>
      <c r="T572" s="14">
        <v>4.7300000000000002E-2</v>
      </c>
      <c r="U572">
        <v>4.7300000000000004</v>
      </c>
      <c r="V572" t="str">
        <f>IF(fin_table[[#This Row],[Interest Rate(%)]]&gt;4,"high","low")</f>
        <v>high</v>
      </c>
      <c r="W572" s="5">
        <v>26681.654999999999</v>
      </c>
      <c r="X572" s="5">
        <f>fin_table[[#This Row],[Interest Rate]]*fin_table[[#This Row],[Loan Amount]]</f>
        <v>1262.0422814999999</v>
      </c>
      <c r="Y572">
        <v>15</v>
      </c>
      <c r="Z572" s="3">
        <v>374</v>
      </c>
      <c r="AA572" s="3" t="str">
        <f t="shared" si="60"/>
        <v>Poor</v>
      </c>
      <c r="AB572" s="3" cm="1">
        <f t="array" ref="AB572">_xlfn.IFS(fin_table[[#This Row],[Transaction Status]]="Failed", 1, fin_table[[#This Row],[Transaction Status]]="Completed",0,fin_table[[#This Row],[Transaction Status]]="Pending",2)</f>
        <v>0</v>
      </c>
      <c r="AC572" s="3" t="str">
        <f>IF(fin_table[[#This Row],[Loan Defaulters]]=1,"Default", "Good")</f>
        <v>Good</v>
      </c>
      <c r="AD572" s="3">
        <f t="shared" si="61"/>
        <v>1</v>
      </c>
      <c r="AE572" s="4">
        <v>2337.4899999999998</v>
      </c>
      <c r="AF572" s="4" t="str">
        <f>IF(fin_table[[#This Row],[Monthly Income]]&lt;3000, "Low Income", IF(fin_table[[#This Row],[Monthly Income]]&lt;=5000, "Middle Income", "High Income"))</f>
        <v>Low Income</v>
      </c>
      <c r="AG572" t="s">
        <v>63</v>
      </c>
      <c r="AH572" t="s">
        <v>3635</v>
      </c>
      <c r="AI572" t="str">
        <f t="shared" si="62"/>
        <v>Low-Risk</v>
      </c>
    </row>
    <row r="573" spans="1:35" x14ac:dyDescent="0.35">
      <c r="A573" t="s">
        <v>2160</v>
      </c>
      <c r="B573" t="s">
        <v>2161</v>
      </c>
      <c r="C573" t="s">
        <v>2162</v>
      </c>
      <c r="D573" s="1">
        <v>44672</v>
      </c>
      <c r="E573" s="1" t="str">
        <f t="shared" si="56"/>
        <v>21</v>
      </c>
      <c r="F573" s="1" t="str">
        <f t="shared" si="57"/>
        <v>Apr</v>
      </c>
      <c r="G573" s="6" t="s">
        <v>23</v>
      </c>
      <c r="H573" s="5">
        <v>1088.68</v>
      </c>
      <c r="I573" s="5" t="str">
        <f>IF(fin_table[[#This Row],[Account Balance]]&lt;20000,"Active", "Not Active")</f>
        <v>Not Active</v>
      </c>
      <c r="J573" s="5">
        <v>28854.78</v>
      </c>
      <c r="K573" s="5" t="str">
        <f t="shared" si="58"/>
        <v>Medium</v>
      </c>
      <c r="L573" s="6" t="s">
        <v>35</v>
      </c>
      <c r="M573">
        <v>24</v>
      </c>
      <c r="N573" s="6" t="str">
        <f t="shared" si="59"/>
        <v>Young Adults</v>
      </c>
      <c r="O573" s="6" t="s">
        <v>25</v>
      </c>
      <c r="P573" s="6" t="s">
        <v>26</v>
      </c>
      <c r="Q573" t="s">
        <v>2163</v>
      </c>
      <c r="R573" s="6" t="s">
        <v>52</v>
      </c>
      <c r="S573" s="6" t="s">
        <v>44</v>
      </c>
      <c r="T573" s="14">
        <v>2.3300000000000001E-2</v>
      </c>
      <c r="U573">
        <v>2.33</v>
      </c>
      <c r="V573" t="str">
        <f>IF(fin_table[[#This Row],[Interest Rate(%)]]&gt;4,"high","low")</f>
        <v>low</v>
      </c>
      <c r="W573" s="5">
        <v>26681.654999999999</v>
      </c>
      <c r="X573" s="5">
        <f>fin_table[[#This Row],[Interest Rate]]*fin_table[[#This Row],[Loan Amount]]</f>
        <v>621.68256150000002</v>
      </c>
      <c r="Y573">
        <v>5</v>
      </c>
      <c r="Z573" s="3">
        <v>435</v>
      </c>
      <c r="AA573" s="3" t="str">
        <f t="shared" si="60"/>
        <v>Poor</v>
      </c>
      <c r="AB573" s="3" cm="1">
        <f t="array" ref="AB573">_xlfn.IFS(fin_table[[#This Row],[Transaction Status]]="Failed", 1, fin_table[[#This Row],[Transaction Status]]="Completed",0,fin_table[[#This Row],[Transaction Status]]="Pending",2)</f>
        <v>0</v>
      </c>
      <c r="AC573" s="3" t="str">
        <f>IF(fin_table[[#This Row],[Loan Defaulters]]=1,"Default", "Good")</f>
        <v>Good</v>
      </c>
      <c r="AD573" s="3">
        <f t="shared" si="61"/>
        <v>1</v>
      </c>
      <c r="AE573" s="4">
        <v>3169.81</v>
      </c>
      <c r="AF573" s="4" t="str">
        <f>IF(fin_table[[#This Row],[Monthly Income]]&lt;3000, "Low Income", IF(fin_table[[#This Row],[Monthly Income]]&lt;=5000, "Middle Income", "High Income"))</f>
        <v>Middle Income</v>
      </c>
      <c r="AG573" t="s">
        <v>45</v>
      </c>
      <c r="AH573" t="s">
        <v>3635</v>
      </c>
      <c r="AI573" t="str">
        <f t="shared" si="62"/>
        <v>Low-Risk</v>
      </c>
    </row>
    <row r="574" spans="1:35" x14ac:dyDescent="0.35">
      <c r="A574" t="s">
        <v>2164</v>
      </c>
      <c r="B574" t="s">
        <v>2165</v>
      </c>
      <c r="C574" t="s">
        <v>2166</v>
      </c>
      <c r="D574" s="1">
        <v>44570</v>
      </c>
      <c r="E574" s="1" t="str">
        <f t="shared" si="56"/>
        <v>09</v>
      </c>
      <c r="F574" s="1" t="str">
        <f t="shared" si="57"/>
        <v>Jan</v>
      </c>
      <c r="G574" s="6" t="s">
        <v>34</v>
      </c>
      <c r="H574" s="5">
        <v>6911.64</v>
      </c>
      <c r="I574" s="5" t="str">
        <f>IF(fin_table[[#This Row],[Account Balance]]&lt;20000,"Active", "Not Active")</f>
        <v>Not Active</v>
      </c>
      <c r="J574" s="5">
        <v>32924.269999999997</v>
      </c>
      <c r="K574" s="5" t="str">
        <f t="shared" si="58"/>
        <v>Medium</v>
      </c>
      <c r="L574" s="6" t="s">
        <v>125</v>
      </c>
      <c r="M574">
        <v>61</v>
      </c>
      <c r="N574" s="6" t="str">
        <f t="shared" si="59"/>
        <v>Seniors</v>
      </c>
      <c r="O574" s="6" t="s">
        <v>25</v>
      </c>
      <c r="P574" s="6" t="s">
        <v>26</v>
      </c>
      <c r="Q574" t="s">
        <v>2167</v>
      </c>
      <c r="R574" s="6" t="s">
        <v>28</v>
      </c>
      <c r="S574" s="6" t="s">
        <v>29</v>
      </c>
      <c r="T574" s="14">
        <v>1.8800000000000001E-2</v>
      </c>
      <c r="U574">
        <v>1.88</v>
      </c>
      <c r="V574" t="str">
        <f>IF(fin_table[[#This Row],[Interest Rate(%)]]&gt;4,"high","low")</f>
        <v>low</v>
      </c>
      <c r="W574" s="5">
        <v>37045.31</v>
      </c>
      <c r="X574" s="5">
        <f>fin_table[[#This Row],[Interest Rate]]*fin_table[[#This Row],[Loan Amount]]</f>
        <v>696.45182799999998</v>
      </c>
      <c r="Y574">
        <v>13</v>
      </c>
      <c r="Z574" s="3">
        <v>373</v>
      </c>
      <c r="AA574" s="3" t="str">
        <f t="shared" si="60"/>
        <v>Poor</v>
      </c>
      <c r="AB574" s="3" cm="1">
        <f t="array" ref="AB574">_xlfn.IFS(fin_table[[#This Row],[Transaction Status]]="Failed", 1, fin_table[[#This Row],[Transaction Status]]="Completed",0,fin_table[[#This Row],[Transaction Status]]="Pending",2)</f>
        <v>1</v>
      </c>
      <c r="AC574" s="3" t="str">
        <f>IF(fin_table[[#This Row],[Loan Defaulters]]=1,"Default", "Good")</f>
        <v>Default</v>
      </c>
      <c r="AD574" s="3">
        <f t="shared" si="61"/>
        <v>1</v>
      </c>
      <c r="AE574" s="4">
        <v>5725.12</v>
      </c>
      <c r="AF574" s="4" t="str">
        <f>IF(fin_table[[#This Row],[Monthly Income]]&lt;3000, "Low Income", IF(fin_table[[#This Row],[Monthly Income]]&lt;=5000, "Middle Income", "High Income"))</f>
        <v>High Income</v>
      </c>
      <c r="AG574" t="s">
        <v>63</v>
      </c>
      <c r="AH574" t="s">
        <v>3636</v>
      </c>
      <c r="AI574" t="str">
        <f t="shared" si="62"/>
        <v>High-Risk</v>
      </c>
    </row>
    <row r="575" spans="1:35" x14ac:dyDescent="0.35">
      <c r="A575" t="s">
        <v>2168</v>
      </c>
      <c r="B575" t="s">
        <v>2169</v>
      </c>
      <c r="C575" t="s">
        <v>2170</v>
      </c>
      <c r="D575" s="1">
        <v>44770</v>
      </c>
      <c r="E575" s="1" t="str">
        <f t="shared" si="56"/>
        <v>28</v>
      </c>
      <c r="F575" s="1" t="str">
        <f t="shared" si="57"/>
        <v>Jul</v>
      </c>
      <c r="G575" s="6" t="s">
        <v>56</v>
      </c>
      <c r="H575" s="5">
        <v>2494.6999999999998</v>
      </c>
      <c r="I575" s="5" t="str">
        <f>IF(fin_table[[#This Row],[Account Balance]]&lt;20000,"Active", "Not Active")</f>
        <v>Active</v>
      </c>
      <c r="J575" s="5">
        <v>11328.29</v>
      </c>
      <c r="K575" s="5" t="str">
        <f t="shared" si="58"/>
        <v>Medium</v>
      </c>
      <c r="L575" s="6" t="s">
        <v>125</v>
      </c>
      <c r="M575">
        <v>21</v>
      </c>
      <c r="N575" s="6" t="str">
        <f t="shared" si="59"/>
        <v>Young Adults</v>
      </c>
      <c r="O575" s="6" t="s">
        <v>25</v>
      </c>
      <c r="P575" s="6" t="s">
        <v>50</v>
      </c>
      <c r="Q575" t="s">
        <v>2171</v>
      </c>
      <c r="R575" s="6" t="s">
        <v>38</v>
      </c>
      <c r="S575" s="6" t="s">
        <v>62</v>
      </c>
      <c r="T575" s="14">
        <v>2.9899999999999999E-2</v>
      </c>
      <c r="U575">
        <v>2.99</v>
      </c>
      <c r="V575" t="str">
        <f>IF(fin_table[[#This Row],[Interest Rate(%)]]&gt;4,"high","low")</f>
        <v>low</v>
      </c>
      <c r="W575" s="5">
        <v>24020.91</v>
      </c>
      <c r="X575" s="5">
        <f>fin_table[[#This Row],[Interest Rate]]*fin_table[[#This Row],[Loan Amount]]</f>
        <v>718.22520899999995</v>
      </c>
      <c r="Y575">
        <v>13</v>
      </c>
      <c r="Z575" s="3">
        <v>553</v>
      </c>
      <c r="AA575" s="3" t="str">
        <f t="shared" si="60"/>
        <v>Poor</v>
      </c>
      <c r="AB575" s="3" cm="1">
        <f t="array" ref="AB575">_xlfn.IFS(fin_table[[#This Row],[Transaction Status]]="Failed", 1, fin_table[[#This Row],[Transaction Status]]="Completed",0,fin_table[[#This Row],[Transaction Status]]="Pending",2)</f>
        <v>2</v>
      </c>
      <c r="AC575" s="3" t="str">
        <f>IF(fin_table[[#This Row],[Loan Defaulters]]=1,"Default", "Good")</f>
        <v>Good</v>
      </c>
      <c r="AD575" s="3">
        <f t="shared" si="61"/>
        <v>1</v>
      </c>
      <c r="AE575" s="4">
        <v>14639.38</v>
      </c>
      <c r="AF575" s="4" t="str">
        <f>IF(fin_table[[#This Row],[Monthly Income]]&lt;3000, "Low Income", IF(fin_table[[#This Row],[Monthly Income]]&lt;=5000, "Middle Income", "High Income"))</f>
        <v>High Income</v>
      </c>
      <c r="AG575" t="s">
        <v>63</v>
      </c>
      <c r="AH575" t="s">
        <v>3636</v>
      </c>
      <c r="AI575" t="str">
        <f t="shared" si="62"/>
        <v>Low-Risk</v>
      </c>
    </row>
    <row r="576" spans="1:35" x14ac:dyDescent="0.35">
      <c r="A576" t="s">
        <v>2172</v>
      </c>
      <c r="B576" t="s">
        <v>2173</v>
      </c>
      <c r="C576" t="s">
        <v>2174</v>
      </c>
      <c r="D576" s="1">
        <v>44699</v>
      </c>
      <c r="E576" s="1" t="str">
        <f t="shared" si="56"/>
        <v>18</v>
      </c>
      <c r="F576" s="1" t="str">
        <f t="shared" si="57"/>
        <v>May</v>
      </c>
      <c r="G576" s="6" t="s">
        <v>56</v>
      </c>
      <c r="H576" s="5">
        <v>9119.58</v>
      </c>
      <c r="I576" s="5" t="str">
        <f>IF(fin_table[[#This Row],[Account Balance]]&lt;20000,"Active", "Not Active")</f>
        <v>Not Active</v>
      </c>
      <c r="J576" s="5">
        <v>28266.35</v>
      </c>
      <c r="K576" s="5" t="str">
        <f t="shared" si="58"/>
        <v>Medium</v>
      </c>
      <c r="L576" s="6" t="s">
        <v>35</v>
      </c>
      <c r="M576">
        <v>51</v>
      </c>
      <c r="N576" s="6" t="str">
        <f t="shared" si="59"/>
        <v>Older Adults</v>
      </c>
      <c r="O576" s="6" t="s">
        <v>42</v>
      </c>
      <c r="P576" s="6" t="s">
        <v>26</v>
      </c>
      <c r="Q576" t="s">
        <v>481</v>
      </c>
      <c r="R576" s="6" t="s">
        <v>52</v>
      </c>
      <c r="S576" s="6" t="s">
        <v>44</v>
      </c>
      <c r="T576" s="14">
        <v>2.1100000000000001E-2</v>
      </c>
      <c r="U576">
        <v>2.11</v>
      </c>
      <c r="V576" t="str">
        <f>IF(fin_table[[#This Row],[Interest Rate(%)]]&gt;4,"high","low")</f>
        <v>low</v>
      </c>
      <c r="W576" s="5">
        <v>26681.654999999999</v>
      </c>
      <c r="X576" s="5">
        <f>fin_table[[#This Row],[Interest Rate]]*fin_table[[#This Row],[Loan Amount]]</f>
        <v>562.98292049999998</v>
      </c>
      <c r="Y576">
        <v>13</v>
      </c>
      <c r="Z576" s="3">
        <v>317</v>
      </c>
      <c r="AA576" s="3" t="str">
        <f t="shared" si="60"/>
        <v>Poor</v>
      </c>
      <c r="AB576" s="3" cm="1">
        <f t="array" ref="AB576">_xlfn.IFS(fin_table[[#This Row],[Transaction Status]]="Failed", 1, fin_table[[#This Row],[Transaction Status]]="Completed",0,fin_table[[#This Row],[Transaction Status]]="Pending",2)</f>
        <v>0</v>
      </c>
      <c r="AC576" s="3" t="str">
        <f>IF(fin_table[[#This Row],[Loan Defaulters]]=1,"Default", "Good")</f>
        <v>Good</v>
      </c>
      <c r="AD576" s="3">
        <f t="shared" si="61"/>
        <v>1</v>
      </c>
      <c r="AE576" s="4">
        <v>9260.7099999999991</v>
      </c>
      <c r="AF576" s="4" t="str">
        <f>IF(fin_table[[#This Row],[Monthly Income]]&lt;3000, "Low Income", IF(fin_table[[#This Row],[Monthly Income]]&lt;=5000, "Middle Income", "High Income"))</f>
        <v>High Income</v>
      </c>
      <c r="AG576" t="s">
        <v>30</v>
      </c>
      <c r="AH576" t="s">
        <v>3635</v>
      </c>
      <c r="AI576" t="str">
        <f t="shared" si="62"/>
        <v>Low-Risk</v>
      </c>
    </row>
    <row r="577" spans="1:35" x14ac:dyDescent="0.35">
      <c r="A577" t="s">
        <v>2175</v>
      </c>
      <c r="B577" t="s">
        <v>2176</v>
      </c>
      <c r="C577" t="s">
        <v>2177</v>
      </c>
      <c r="D577" s="1">
        <v>44991</v>
      </c>
      <c r="E577" s="1" t="str">
        <f t="shared" si="56"/>
        <v>06</v>
      </c>
      <c r="F577" s="1" t="str">
        <f t="shared" si="57"/>
        <v>Mar</v>
      </c>
      <c r="G577" s="6" t="s">
        <v>56</v>
      </c>
      <c r="H577" s="5">
        <v>8398.83</v>
      </c>
      <c r="I577" s="5" t="str">
        <f>IF(fin_table[[#This Row],[Account Balance]]&lt;20000,"Active", "Not Active")</f>
        <v>Not Active</v>
      </c>
      <c r="J577" s="5">
        <v>42968.18</v>
      </c>
      <c r="K577" s="5" t="str">
        <f t="shared" si="58"/>
        <v>Medium</v>
      </c>
      <c r="L577" s="6" t="s">
        <v>35</v>
      </c>
      <c r="M577">
        <v>19</v>
      </c>
      <c r="N577" s="6" t="str">
        <f t="shared" si="59"/>
        <v>Young Adults</v>
      </c>
      <c r="O577" s="6" t="s">
        <v>25</v>
      </c>
      <c r="P577" s="6" t="s">
        <v>50</v>
      </c>
      <c r="Q577" t="s">
        <v>2178</v>
      </c>
      <c r="R577" s="6" t="s">
        <v>52</v>
      </c>
      <c r="S577" s="6" t="s">
        <v>62</v>
      </c>
      <c r="T577" s="14">
        <v>3.1399999999999997E-2</v>
      </c>
      <c r="U577">
        <v>3.14</v>
      </c>
      <c r="V577" t="str">
        <f>IF(fin_table[[#This Row],[Interest Rate(%)]]&gt;4,"high","low")</f>
        <v>low</v>
      </c>
      <c r="W577" s="5">
        <v>26681.654999999999</v>
      </c>
      <c r="X577" s="5">
        <f>fin_table[[#This Row],[Interest Rate]]*fin_table[[#This Row],[Loan Amount]]</f>
        <v>837.80396699999994</v>
      </c>
      <c r="Y577">
        <v>13</v>
      </c>
      <c r="Z577" s="3">
        <v>342</v>
      </c>
      <c r="AA577" s="3" t="str">
        <f t="shared" si="60"/>
        <v>Poor</v>
      </c>
      <c r="AB577" s="3" cm="1">
        <f t="array" ref="AB577">_xlfn.IFS(fin_table[[#This Row],[Transaction Status]]="Failed", 1, fin_table[[#This Row],[Transaction Status]]="Completed",0,fin_table[[#This Row],[Transaction Status]]="Pending",2)</f>
        <v>2</v>
      </c>
      <c r="AC577" s="3" t="str">
        <f>IF(fin_table[[#This Row],[Loan Defaulters]]=1,"Default", "Good")</f>
        <v>Good</v>
      </c>
      <c r="AD577" s="3">
        <f t="shared" si="61"/>
        <v>1</v>
      </c>
      <c r="AE577" s="4">
        <v>6852.4</v>
      </c>
      <c r="AF577" s="4" t="str">
        <f>IF(fin_table[[#This Row],[Monthly Income]]&lt;3000, "Low Income", IF(fin_table[[#This Row],[Monthly Income]]&lt;=5000, "Middle Income", "High Income"))</f>
        <v>High Income</v>
      </c>
      <c r="AG577" t="s">
        <v>30</v>
      </c>
      <c r="AH577" t="s">
        <v>3635</v>
      </c>
      <c r="AI577" t="str">
        <f t="shared" si="62"/>
        <v>Low-Risk</v>
      </c>
    </row>
    <row r="578" spans="1:35" x14ac:dyDescent="0.35">
      <c r="A578" t="s">
        <v>2179</v>
      </c>
      <c r="B578" t="s">
        <v>2180</v>
      </c>
      <c r="C578" t="s">
        <v>2181</v>
      </c>
      <c r="D578" s="1">
        <v>44912</v>
      </c>
      <c r="E578" s="1" t="str">
        <f t="shared" ref="E578:E641" si="63">TEXT(D578, "DD")</f>
        <v>17</v>
      </c>
      <c r="F578" s="1" t="str">
        <f t="shared" ref="F578:F641" si="64">TEXT(D578, "MMM")</f>
        <v>Dec</v>
      </c>
      <c r="G578" s="6" t="s">
        <v>34</v>
      </c>
      <c r="H578" s="5">
        <v>7122.89</v>
      </c>
      <c r="I578" s="5" t="str">
        <f>IF(fin_table[[#This Row],[Account Balance]]&lt;20000,"Active", "Not Active")</f>
        <v>Not Active</v>
      </c>
      <c r="J578" s="5">
        <v>41918.230000000003</v>
      </c>
      <c r="K578" s="5" t="str">
        <f t="shared" ref="K578:K641" si="65">IF(J578&lt;10000, "Low", IF(J578&lt;50000, "Medium", "High"))</f>
        <v>Medium</v>
      </c>
      <c r="L578" s="6" t="s">
        <v>49</v>
      </c>
      <c r="M578">
        <v>22</v>
      </c>
      <c r="N578" s="6" t="str">
        <f t="shared" ref="N578:N641" si="66">IF(M578&lt;18, "Teenagers", IF(M578&lt;=25, "Young Adults", IF(M578&lt;=35, "Adults", IF(M578&lt;=45, "Middle-Aged", IF(M578&lt;=60, "Older Adults", "Seniors")))))</f>
        <v>Young Adults</v>
      </c>
      <c r="O578" s="6" t="s">
        <v>42</v>
      </c>
      <c r="P578" s="6" t="s">
        <v>26</v>
      </c>
      <c r="Q578" t="s">
        <v>2182</v>
      </c>
      <c r="R578" s="6" t="s">
        <v>28</v>
      </c>
      <c r="S578" s="6" t="s">
        <v>62</v>
      </c>
      <c r="T578" s="14">
        <v>2.3900000000000001E-2</v>
      </c>
      <c r="U578">
        <v>2.39</v>
      </c>
      <c r="V578" t="str">
        <f>IF(fin_table[[#This Row],[Interest Rate(%)]]&gt;4,"high","low")</f>
        <v>low</v>
      </c>
      <c r="W578" s="5">
        <v>26681.654999999999</v>
      </c>
      <c r="X578" s="5">
        <f>fin_table[[#This Row],[Interest Rate]]*fin_table[[#This Row],[Loan Amount]]</f>
        <v>637.69155450000005</v>
      </c>
      <c r="Y578">
        <v>13</v>
      </c>
      <c r="Z578" s="3">
        <v>349</v>
      </c>
      <c r="AA578" s="3" t="str">
        <f t="shared" ref="AA578:AA641" si="67">IF(Z578&lt;580, "Poor", IF(Z578&lt;670, "Fair", IF(Z578&lt;740, "Good", IF(Z578&lt;800, "Very Good", "Excellent"))))</f>
        <v>Poor</v>
      </c>
      <c r="AB578" s="3" cm="1">
        <f t="array" ref="AB578">_xlfn.IFS(fin_table[[#This Row],[Transaction Status]]="Failed", 1, fin_table[[#This Row],[Transaction Status]]="Completed",0,fin_table[[#This Row],[Transaction Status]]="Pending",2)</f>
        <v>2</v>
      </c>
      <c r="AC578" s="3" t="str">
        <f>IF(fin_table[[#This Row],[Loan Defaulters]]=1,"Default", "Good")</f>
        <v>Good</v>
      </c>
      <c r="AD578" s="3">
        <f t="shared" ref="AD578:AD641" si="68">IF(AA578="Poor", 1, IF(AA578="Fair", 2, IF(AA578="Good", 3, IF(AA578="Very Good", 4, IF(AA578="Excellent", 5, "")))))</f>
        <v>1</v>
      </c>
      <c r="AE578" s="4">
        <v>13553.31</v>
      </c>
      <c r="AF578" s="4" t="str">
        <f>IF(fin_table[[#This Row],[Monthly Income]]&lt;3000, "Low Income", IF(fin_table[[#This Row],[Monthly Income]]&lt;=5000, "Middle Income", "High Income"))</f>
        <v>High Income</v>
      </c>
      <c r="AG578" t="s">
        <v>45</v>
      </c>
      <c r="AH578" t="s">
        <v>3635</v>
      </c>
      <c r="AI578" t="str">
        <f t="shared" ref="AI578:AI641" si="69">IF(AND(W578&gt;33000, Z578&lt;600), "High-Risk", "Low-Risk")</f>
        <v>Low-Risk</v>
      </c>
    </row>
    <row r="579" spans="1:35" x14ac:dyDescent="0.35">
      <c r="A579" t="s">
        <v>2183</v>
      </c>
      <c r="B579" t="s">
        <v>2184</v>
      </c>
      <c r="C579" t="s">
        <v>2185</v>
      </c>
      <c r="D579" s="1">
        <v>44867</v>
      </c>
      <c r="E579" s="1" t="str">
        <f t="shared" si="63"/>
        <v>02</v>
      </c>
      <c r="F579" s="1" t="str">
        <f t="shared" si="64"/>
        <v>Nov</v>
      </c>
      <c r="G579" s="6" t="s">
        <v>71</v>
      </c>
      <c r="H579" s="5">
        <v>9493.57</v>
      </c>
      <c r="I579" s="5" t="str">
        <f>IF(fin_table[[#This Row],[Account Balance]]&lt;20000,"Active", "Not Active")</f>
        <v>Not Active</v>
      </c>
      <c r="J579" s="5">
        <v>46440.4</v>
      </c>
      <c r="K579" s="5" t="str">
        <f t="shared" si="65"/>
        <v>Medium</v>
      </c>
      <c r="L579" s="6" t="s">
        <v>35</v>
      </c>
      <c r="M579">
        <v>27</v>
      </c>
      <c r="N579" s="6" t="str">
        <f t="shared" si="66"/>
        <v>Adults</v>
      </c>
      <c r="O579" s="6" t="s">
        <v>25</v>
      </c>
      <c r="P579" s="6" t="s">
        <v>50</v>
      </c>
      <c r="Q579" t="s">
        <v>367</v>
      </c>
      <c r="R579" s="6" t="s">
        <v>52</v>
      </c>
      <c r="S579" s="6" t="s">
        <v>29</v>
      </c>
      <c r="T579" s="14">
        <v>1.5299999999999999E-2</v>
      </c>
      <c r="U579">
        <v>1.53</v>
      </c>
      <c r="V579" t="str">
        <f>IF(fin_table[[#This Row],[Interest Rate(%)]]&gt;4,"high","low")</f>
        <v>low</v>
      </c>
      <c r="W579" s="5">
        <v>23606.3</v>
      </c>
      <c r="X579" s="5">
        <f>fin_table[[#This Row],[Interest Rate]]*fin_table[[#This Row],[Loan Amount]]</f>
        <v>361.17638999999997</v>
      </c>
      <c r="Y579">
        <v>13</v>
      </c>
      <c r="Z579" s="3">
        <v>814</v>
      </c>
      <c r="AA579" s="3" t="str">
        <f t="shared" si="67"/>
        <v>Excellent</v>
      </c>
      <c r="AB579" s="3" cm="1">
        <f t="array" ref="AB579">_xlfn.IFS(fin_table[[#This Row],[Transaction Status]]="Failed", 1, fin_table[[#This Row],[Transaction Status]]="Completed",0,fin_table[[#This Row],[Transaction Status]]="Pending",2)</f>
        <v>1</v>
      </c>
      <c r="AC579" s="3" t="str">
        <f>IF(fin_table[[#This Row],[Loan Defaulters]]=1,"Default", "Good")</f>
        <v>Default</v>
      </c>
      <c r="AD579" s="3">
        <f t="shared" si="68"/>
        <v>5</v>
      </c>
      <c r="AE579" s="4">
        <v>7890.77</v>
      </c>
      <c r="AF579" s="4" t="str">
        <f>IF(fin_table[[#This Row],[Monthly Income]]&lt;3000, "Low Income", IF(fin_table[[#This Row],[Monthly Income]]&lt;=5000, "Middle Income", "High Income"))</f>
        <v>High Income</v>
      </c>
      <c r="AG579" t="s">
        <v>45</v>
      </c>
      <c r="AH579" t="s">
        <v>3636</v>
      </c>
      <c r="AI579" t="str">
        <f t="shared" si="69"/>
        <v>Low-Risk</v>
      </c>
    </row>
    <row r="580" spans="1:35" x14ac:dyDescent="0.35">
      <c r="A580" t="s">
        <v>2186</v>
      </c>
      <c r="B580" t="s">
        <v>2187</v>
      </c>
      <c r="C580" t="s">
        <v>2188</v>
      </c>
      <c r="D580" s="1">
        <v>44855</v>
      </c>
      <c r="E580" s="1" t="str">
        <f t="shared" si="63"/>
        <v>21</v>
      </c>
      <c r="F580" s="1" t="str">
        <f t="shared" si="64"/>
        <v>Oct</v>
      </c>
      <c r="G580" s="6" t="s">
        <v>23</v>
      </c>
      <c r="H580" s="5">
        <v>411.08</v>
      </c>
      <c r="I580" s="5" t="str">
        <f>IF(fin_table[[#This Row],[Account Balance]]&lt;20000,"Active", "Not Active")</f>
        <v>Active</v>
      </c>
      <c r="J580" s="5">
        <v>18928.400000000001</v>
      </c>
      <c r="K580" s="5" t="str">
        <f t="shared" si="65"/>
        <v>Medium</v>
      </c>
      <c r="L580" s="6" t="s">
        <v>24</v>
      </c>
      <c r="M580">
        <v>49</v>
      </c>
      <c r="N580" s="6" t="str">
        <f t="shared" si="66"/>
        <v>Older Adults</v>
      </c>
      <c r="O580" s="6" t="s">
        <v>25</v>
      </c>
      <c r="P580" s="6" t="s">
        <v>26</v>
      </c>
      <c r="Q580" t="s">
        <v>566</v>
      </c>
      <c r="R580" s="6" t="s">
        <v>38</v>
      </c>
      <c r="S580" s="6" t="s">
        <v>44</v>
      </c>
      <c r="T580" s="14">
        <v>2.06E-2</v>
      </c>
      <c r="U580">
        <v>2.06</v>
      </c>
      <c r="V580" t="str">
        <f>IF(fin_table[[#This Row],[Interest Rate(%)]]&gt;4,"high","low")</f>
        <v>low</v>
      </c>
      <c r="W580" s="5">
        <v>26681.654999999999</v>
      </c>
      <c r="X580" s="5">
        <f>fin_table[[#This Row],[Interest Rate]]*fin_table[[#This Row],[Loan Amount]]</f>
        <v>549.64209299999993</v>
      </c>
      <c r="Y580">
        <v>28</v>
      </c>
      <c r="Z580" s="3">
        <v>602</v>
      </c>
      <c r="AA580" s="3" t="str">
        <f t="shared" si="67"/>
        <v>Fair</v>
      </c>
      <c r="AB580" s="3" cm="1">
        <f t="array" ref="AB580">_xlfn.IFS(fin_table[[#This Row],[Transaction Status]]="Failed", 1, fin_table[[#This Row],[Transaction Status]]="Completed",0,fin_table[[#This Row],[Transaction Status]]="Pending",2)</f>
        <v>0</v>
      </c>
      <c r="AC580" s="3" t="str">
        <f>IF(fin_table[[#This Row],[Loan Defaulters]]=1,"Default", "Good")</f>
        <v>Good</v>
      </c>
      <c r="AD580" s="3">
        <f t="shared" si="68"/>
        <v>2</v>
      </c>
      <c r="AE580" s="4">
        <v>6098.1</v>
      </c>
      <c r="AF580" s="4" t="str">
        <f>IF(fin_table[[#This Row],[Monthly Income]]&lt;3000, "Low Income", IF(fin_table[[#This Row],[Monthly Income]]&lt;=5000, "Middle Income", "High Income"))</f>
        <v>High Income</v>
      </c>
      <c r="AG580" t="s">
        <v>45</v>
      </c>
      <c r="AH580" t="s">
        <v>3635</v>
      </c>
      <c r="AI580" t="str">
        <f t="shared" si="69"/>
        <v>Low-Risk</v>
      </c>
    </row>
    <row r="581" spans="1:35" x14ac:dyDescent="0.35">
      <c r="A581" t="s">
        <v>2189</v>
      </c>
      <c r="B581" t="s">
        <v>2190</v>
      </c>
      <c r="C581" t="s">
        <v>2191</v>
      </c>
      <c r="D581" s="1">
        <v>45073</v>
      </c>
      <c r="E581" s="1" t="str">
        <f t="shared" si="63"/>
        <v>27</v>
      </c>
      <c r="F581" s="1" t="str">
        <f t="shared" si="64"/>
        <v>May</v>
      </c>
      <c r="G581" s="6" t="s">
        <v>71</v>
      </c>
      <c r="H581" s="5">
        <v>7388.38</v>
      </c>
      <c r="I581" s="5" t="str">
        <f>IF(fin_table[[#This Row],[Account Balance]]&lt;20000,"Active", "Not Active")</f>
        <v>Active</v>
      </c>
      <c r="J581" s="5">
        <v>16584.43</v>
      </c>
      <c r="K581" s="5" t="str">
        <f t="shared" si="65"/>
        <v>Medium</v>
      </c>
      <c r="L581" s="6" t="s">
        <v>35</v>
      </c>
      <c r="M581">
        <v>59</v>
      </c>
      <c r="N581" s="6" t="str">
        <f t="shared" si="66"/>
        <v>Older Adults</v>
      </c>
      <c r="O581" s="6" t="s">
        <v>42</v>
      </c>
      <c r="P581" s="6" t="s">
        <v>26</v>
      </c>
      <c r="Q581" t="s">
        <v>72</v>
      </c>
      <c r="R581" s="6" t="s">
        <v>28</v>
      </c>
      <c r="S581" s="6" t="s">
        <v>44</v>
      </c>
      <c r="T581" s="14">
        <v>2.75E-2</v>
      </c>
      <c r="U581">
        <v>2.75</v>
      </c>
      <c r="V581" t="str">
        <f>IF(fin_table[[#This Row],[Interest Rate(%)]]&gt;4,"high","low")</f>
        <v>low</v>
      </c>
      <c r="W581" s="5">
        <v>26681.654999999999</v>
      </c>
      <c r="X581" s="5">
        <f>fin_table[[#This Row],[Interest Rate]]*fin_table[[#This Row],[Loan Amount]]</f>
        <v>733.74551250000002</v>
      </c>
      <c r="Y581">
        <v>5</v>
      </c>
      <c r="Z581" s="3">
        <v>441</v>
      </c>
      <c r="AA581" s="3" t="str">
        <f t="shared" si="67"/>
        <v>Poor</v>
      </c>
      <c r="AB581" s="3" cm="1">
        <f t="array" ref="AB581">_xlfn.IFS(fin_table[[#This Row],[Transaction Status]]="Failed", 1, fin_table[[#This Row],[Transaction Status]]="Completed",0,fin_table[[#This Row],[Transaction Status]]="Pending",2)</f>
        <v>0</v>
      </c>
      <c r="AC581" s="3" t="str">
        <f>IF(fin_table[[#This Row],[Loan Defaulters]]=1,"Default", "Good")</f>
        <v>Good</v>
      </c>
      <c r="AD581" s="3">
        <f t="shared" si="68"/>
        <v>1</v>
      </c>
      <c r="AE581" s="4">
        <v>14235.85</v>
      </c>
      <c r="AF581" s="4" t="str">
        <f>IF(fin_table[[#This Row],[Monthly Income]]&lt;3000, "Low Income", IF(fin_table[[#This Row],[Monthly Income]]&lt;=5000, "Middle Income", "High Income"))</f>
        <v>High Income</v>
      </c>
      <c r="AG581" t="s">
        <v>63</v>
      </c>
      <c r="AH581" t="s">
        <v>3635</v>
      </c>
      <c r="AI581" t="str">
        <f t="shared" si="69"/>
        <v>Low-Risk</v>
      </c>
    </row>
    <row r="582" spans="1:35" x14ac:dyDescent="0.35">
      <c r="A582" t="s">
        <v>2192</v>
      </c>
      <c r="B582" t="s">
        <v>2193</v>
      </c>
      <c r="C582" t="s">
        <v>2194</v>
      </c>
      <c r="D582" s="1">
        <v>44954</v>
      </c>
      <c r="E582" s="1" t="str">
        <f t="shared" si="63"/>
        <v>28</v>
      </c>
      <c r="F582" s="1" t="str">
        <f t="shared" si="64"/>
        <v>Jan</v>
      </c>
      <c r="G582" s="6" t="s">
        <v>71</v>
      </c>
      <c r="H582" s="5">
        <v>3369.4</v>
      </c>
      <c r="I582" s="5" t="str">
        <f>IF(fin_table[[#This Row],[Account Balance]]&lt;20000,"Active", "Not Active")</f>
        <v>Not Active</v>
      </c>
      <c r="J582" s="5">
        <v>37721.870000000003</v>
      </c>
      <c r="K582" s="5" t="str">
        <f t="shared" si="65"/>
        <v>Medium</v>
      </c>
      <c r="L582" s="6" t="s">
        <v>24</v>
      </c>
      <c r="M582">
        <v>58</v>
      </c>
      <c r="N582" s="6" t="str">
        <f t="shared" si="66"/>
        <v>Older Adults</v>
      </c>
      <c r="O582" s="6" t="s">
        <v>42</v>
      </c>
      <c r="P582" s="6" t="s">
        <v>26</v>
      </c>
      <c r="Q582" t="s">
        <v>2195</v>
      </c>
      <c r="R582" s="6" t="s">
        <v>52</v>
      </c>
      <c r="S582" s="6" t="s">
        <v>62</v>
      </c>
      <c r="T582" s="14">
        <v>1.12E-2</v>
      </c>
      <c r="U582">
        <v>1.1200000000000001</v>
      </c>
      <c r="V582" t="str">
        <f>IF(fin_table[[#This Row],[Interest Rate(%)]]&gt;4,"high","low")</f>
        <v>low</v>
      </c>
      <c r="W582" s="5">
        <v>26681.654999999999</v>
      </c>
      <c r="X582" s="5">
        <f>fin_table[[#This Row],[Interest Rate]]*fin_table[[#This Row],[Loan Amount]]</f>
        <v>298.83453599999996</v>
      </c>
      <c r="Y582">
        <v>13</v>
      </c>
      <c r="Z582" s="3">
        <v>501</v>
      </c>
      <c r="AA582" s="3" t="str">
        <f t="shared" si="67"/>
        <v>Poor</v>
      </c>
      <c r="AB582" s="3" cm="1">
        <f t="array" ref="AB582">_xlfn.IFS(fin_table[[#This Row],[Transaction Status]]="Failed", 1, fin_table[[#This Row],[Transaction Status]]="Completed",0,fin_table[[#This Row],[Transaction Status]]="Pending",2)</f>
        <v>2</v>
      </c>
      <c r="AC582" s="3" t="str">
        <f>IF(fin_table[[#This Row],[Loan Defaulters]]=1,"Default", "Good")</f>
        <v>Good</v>
      </c>
      <c r="AD582" s="3">
        <f t="shared" si="68"/>
        <v>1</v>
      </c>
      <c r="AE582" s="4">
        <v>13043.73</v>
      </c>
      <c r="AF582" s="4" t="str">
        <f>IF(fin_table[[#This Row],[Monthly Income]]&lt;3000, "Low Income", IF(fin_table[[#This Row],[Monthly Income]]&lt;=5000, "Middle Income", "High Income"))</f>
        <v>High Income</v>
      </c>
      <c r="AG582" t="s">
        <v>45</v>
      </c>
      <c r="AH582" t="s">
        <v>3635</v>
      </c>
      <c r="AI582" t="str">
        <f t="shared" si="69"/>
        <v>Low-Risk</v>
      </c>
    </row>
    <row r="583" spans="1:35" x14ac:dyDescent="0.35">
      <c r="A583" t="s">
        <v>2196</v>
      </c>
      <c r="B583" t="s">
        <v>2197</v>
      </c>
      <c r="C583" t="s">
        <v>2198</v>
      </c>
      <c r="D583" s="1">
        <v>44782</v>
      </c>
      <c r="E583" s="1" t="str">
        <f t="shared" si="63"/>
        <v>09</v>
      </c>
      <c r="F583" s="1" t="str">
        <f t="shared" si="64"/>
        <v>Aug</v>
      </c>
      <c r="G583" s="6" t="s">
        <v>23</v>
      </c>
      <c r="H583" s="5">
        <v>9070.0499999999993</v>
      </c>
      <c r="I583" s="5" t="str">
        <f>IF(fin_table[[#This Row],[Account Balance]]&lt;20000,"Active", "Not Active")</f>
        <v>Not Active</v>
      </c>
      <c r="J583" s="5">
        <v>22124.51</v>
      </c>
      <c r="K583" s="5" t="str">
        <f t="shared" si="65"/>
        <v>Medium</v>
      </c>
      <c r="L583" s="6" t="s">
        <v>35</v>
      </c>
      <c r="M583">
        <v>30</v>
      </c>
      <c r="N583" s="6" t="str">
        <f t="shared" si="66"/>
        <v>Adults</v>
      </c>
      <c r="O583" s="6" t="s">
        <v>25</v>
      </c>
      <c r="P583" s="6" t="s">
        <v>36</v>
      </c>
      <c r="Q583" t="s">
        <v>2199</v>
      </c>
      <c r="R583" s="6" t="s">
        <v>52</v>
      </c>
      <c r="S583" s="6" t="s">
        <v>62</v>
      </c>
      <c r="T583" s="14">
        <v>4.0800000000000003E-2</v>
      </c>
      <c r="U583">
        <v>4.08</v>
      </c>
      <c r="V583" t="str">
        <f>IF(fin_table[[#This Row],[Interest Rate(%)]]&gt;4,"high","low")</f>
        <v>high</v>
      </c>
      <c r="W583" s="5">
        <v>8309.77</v>
      </c>
      <c r="X583" s="5">
        <f>fin_table[[#This Row],[Interest Rate]]*fin_table[[#This Row],[Loan Amount]]</f>
        <v>339.03861600000005</v>
      </c>
      <c r="Y583">
        <v>13</v>
      </c>
      <c r="Z583" s="3">
        <v>506</v>
      </c>
      <c r="AA583" s="3" t="str">
        <f t="shared" si="67"/>
        <v>Poor</v>
      </c>
      <c r="AB583" s="3" cm="1">
        <f t="array" ref="AB583">_xlfn.IFS(fin_table[[#This Row],[Transaction Status]]="Failed", 1, fin_table[[#This Row],[Transaction Status]]="Completed",0,fin_table[[#This Row],[Transaction Status]]="Pending",2)</f>
        <v>2</v>
      </c>
      <c r="AC583" s="3" t="str">
        <f>IF(fin_table[[#This Row],[Loan Defaulters]]=1,"Default", "Good")</f>
        <v>Good</v>
      </c>
      <c r="AD583" s="3">
        <f t="shared" si="68"/>
        <v>1</v>
      </c>
      <c r="AE583" s="4">
        <v>12967.69</v>
      </c>
      <c r="AF583" s="4" t="str">
        <f>IF(fin_table[[#This Row],[Monthly Income]]&lt;3000, "Low Income", IF(fin_table[[#This Row],[Monthly Income]]&lt;=5000, "Middle Income", "High Income"))</f>
        <v>High Income</v>
      </c>
      <c r="AG583" t="s">
        <v>63</v>
      </c>
      <c r="AH583" t="s">
        <v>3636</v>
      </c>
      <c r="AI583" t="str">
        <f t="shared" si="69"/>
        <v>Low-Risk</v>
      </c>
    </row>
    <row r="584" spans="1:35" x14ac:dyDescent="0.35">
      <c r="A584" t="s">
        <v>2200</v>
      </c>
      <c r="B584" t="s">
        <v>2201</v>
      </c>
      <c r="C584" t="s">
        <v>2202</v>
      </c>
      <c r="D584" s="1">
        <v>44997</v>
      </c>
      <c r="E584" s="1" t="str">
        <f t="shared" si="63"/>
        <v>12</v>
      </c>
      <c r="F584" s="1" t="str">
        <f t="shared" si="64"/>
        <v>Mar</v>
      </c>
      <c r="G584" s="6" t="s">
        <v>23</v>
      </c>
      <c r="H584" s="5">
        <v>2740.08</v>
      </c>
      <c r="I584" s="5" t="str">
        <f>IF(fin_table[[#This Row],[Account Balance]]&lt;20000,"Active", "Not Active")</f>
        <v>Active</v>
      </c>
      <c r="J584" s="5">
        <v>5289.88</v>
      </c>
      <c r="K584" s="5" t="str">
        <f t="shared" si="65"/>
        <v>Low</v>
      </c>
      <c r="L584" s="6" t="s">
        <v>49</v>
      </c>
      <c r="M584">
        <v>56</v>
      </c>
      <c r="N584" s="6" t="str">
        <f t="shared" si="66"/>
        <v>Older Adults</v>
      </c>
      <c r="O584" s="6" t="s">
        <v>25</v>
      </c>
      <c r="P584" s="6" t="s">
        <v>36</v>
      </c>
      <c r="Q584" t="s">
        <v>2203</v>
      </c>
      <c r="R584" s="6" t="s">
        <v>28</v>
      </c>
      <c r="S584" s="6" t="s">
        <v>29</v>
      </c>
      <c r="T584" s="14">
        <v>3.49E-2</v>
      </c>
      <c r="U584">
        <v>3.49</v>
      </c>
      <c r="V584" t="str">
        <f>IF(fin_table[[#This Row],[Interest Rate(%)]]&gt;4,"high","low")</f>
        <v>low</v>
      </c>
      <c r="W584" s="5">
        <v>26681.654999999999</v>
      </c>
      <c r="X584" s="5">
        <f>fin_table[[#This Row],[Interest Rate]]*fin_table[[#This Row],[Loan Amount]]</f>
        <v>931.18975949999992</v>
      </c>
      <c r="Y584">
        <v>13</v>
      </c>
      <c r="Z584" s="3">
        <v>714</v>
      </c>
      <c r="AA584" s="3" t="str">
        <f t="shared" si="67"/>
        <v>Good</v>
      </c>
      <c r="AB584" s="3" cm="1">
        <f t="array" ref="AB584">_xlfn.IFS(fin_table[[#This Row],[Transaction Status]]="Failed", 1, fin_table[[#This Row],[Transaction Status]]="Completed",0,fin_table[[#This Row],[Transaction Status]]="Pending",2)</f>
        <v>1</v>
      </c>
      <c r="AC584" s="3" t="str">
        <f>IF(fin_table[[#This Row],[Loan Defaulters]]=1,"Default", "Good")</f>
        <v>Default</v>
      </c>
      <c r="AD584" s="3">
        <f t="shared" si="68"/>
        <v>3</v>
      </c>
      <c r="AE584" s="4">
        <v>8659.7000000000007</v>
      </c>
      <c r="AF584" s="4" t="str">
        <f>IF(fin_table[[#This Row],[Monthly Income]]&lt;3000, "Low Income", IF(fin_table[[#This Row],[Monthly Income]]&lt;=5000, "Middle Income", "High Income"))</f>
        <v>High Income</v>
      </c>
      <c r="AG584" t="s">
        <v>63</v>
      </c>
      <c r="AH584" t="s">
        <v>3635</v>
      </c>
      <c r="AI584" t="str">
        <f t="shared" si="69"/>
        <v>Low-Risk</v>
      </c>
    </row>
    <row r="585" spans="1:35" x14ac:dyDescent="0.35">
      <c r="A585" t="s">
        <v>2204</v>
      </c>
      <c r="B585" t="s">
        <v>2205</v>
      </c>
      <c r="C585" t="s">
        <v>2206</v>
      </c>
      <c r="D585" s="1">
        <v>45116</v>
      </c>
      <c r="E585" s="1" t="str">
        <f t="shared" si="63"/>
        <v>09</v>
      </c>
      <c r="F585" s="1" t="str">
        <f t="shared" si="64"/>
        <v>Jul</v>
      </c>
      <c r="G585" s="6" t="s">
        <v>34</v>
      </c>
      <c r="H585" s="5">
        <v>7276.08</v>
      </c>
      <c r="I585" s="5" t="str">
        <f>IF(fin_table[[#This Row],[Account Balance]]&lt;20000,"Active", "Not Active")</f>
        <v>Active</v>
      </c>
      <c r="J585" s="5">
        <v>14857.26</v>
      </c>
      <c r="K585" s="5" t="str">
        <f t="shared" si="65"/>
        <v>Medium</v>
      </c>
      <c r="L585" s="6" t="s">
        <v>24</v>
      </c>
      <c r="M585">
        <v>22</v>
      </c>
      <c r="N585" s="6" t="str">
        <f t="shared" si="66"/>
        <v>Young Adults</v>
      </c>
      <c r="O585" s="6" t="s">
        <v>25</v>
      </c>
      <c r="P585" s="6" t="s">
        <v>26</v>
      </c>
      <c r="Q585" t="s">
        <v>2207</v>
      </c>
      <c r="R585" s="6" t="s">
        <v>28</v>
      </c>
      <c r="S585" s="6" t="s">
        <v>29</v>
      </c>
      <c r="T585" s="14">
        <v>3.4099999999999998E-2</v>
      </c>
      <c r="U585">
        <v>3.41</v>
      </c>
      <c r="V585" t="str">
        <f>IF(fin_table[[#This Row],[Interest Rate(%)]]&gt;4,"high","low")</f>
        <v>low</v>
      </c>
      <c r="W585" s="5">
        <v>38685.410000000003</v>
      </c>
      <c r="X585" s="5">
        <f>fin_table[[#This Row],[Interest Rate]]*fin_table[[#This Row],[Loan Amount]]</f>
        <v>1319.1724810000001</v>
      </c>
      <c r="Y585">
        <v>12</v>
      </c>
      <c r="Z585" s="3">
        <v>520</v>
      </c>
      <c r="AA585" s="3" t="str">
        <f t="shared" si="67"/>
        <v>Poor</v>
      </c>
      <c r="AB585" s="3" cm="1">
        <f t="array" ref="AB585">_xlfn.IFS(fin_table[[#This Row],[Transaction Status]]="Failed", 1, fin_table[[#This Row],[Transaction Status]]="Completed",0,fin_table[[#This Row],[Transaction Status]]="Pending",2)</f>
        <v>1</v>
      </c>
      <c r="AC585" s="3" t="str">
        <f>IF(fin_table[[#This Row],[Loan Defaulters]]=1,"Default", "Good")</f>
        <v>Default</v>
      </c>
      <c r="AD585" s="3">
        <f t="shared" si="68"/>
        <v>1</v>
      </c>
      <c r="AE585" s="4">
        <v>12262.7</v>
      </c>
      <c r="AF585" s="4" t="str">
        <f>IF(fin_table[[#This Row],[Monthly Income]]&lt;3000, "Low Income", IF(fin_table[[#This Row],[Monthly Income]]&lt;=5000, "Middle Income", "High Income"))</f>
        <v>High Income</v>
      </c>
      <c r="AG585" t="s">
        <v>63</v>
      </c>
      <c r="AH585" t="s">
        <v>3636</v>
      </c>
      <c r="AI585" t="str">
        <f t="shared" si="69"/>
        <v>High-Risk</v>
      </c>
    </row>
    <row r="586" spans="1:35" x14ac:dyDescent="0.35">
      <c r="A586" t="s">
        <v>2208</v>
      </c>
      <c r="B586" t="s">
        <v>2209</v>
      </c>
      <c r="C586" t="s">
        <v>2210</v>
      </c>
      <c r="D586" s="1">
        <v>44637</v>
      </c>
      <c r="E586" s="1" t="str">
        <f t="shared" si="63"/>
        <v>17</v>
      </c>
      <c r="F586" s="1" t="str">
        <f t="shared" si="64"/>
        <v>Mar</v>
      </c>
      <c r="G586" s="6" t="s">
        <v>34</v>
      </c>
      <c r="H586" s="5">
        <v>8788.7099999999991</v>
      </c>
      <c r="I586" s="5" t="str">
        <f>IF(fin_table[[#This Row],[Account Balance]]&lt;20000,"Active", "Not Active")</f>
        <v>Not Active</v>
      </c>
      <c r="J586" s="5">
        <v>21510.53</v>
      </c>
      <c r="K586" s="5" t="str">
        <f t="shared" si="65"/>
        <v>Medium</v>
      </c>
      <c r="L586" s="6" t="s">
        <v>100</v>
      </c>
      <c r="M586">
        <v>27</v>
      </c>
      <c r="N586" s="6" t="str">
        <f t="shared" si="66"/>
        <v>Adults</v>
      </c>
      <c r="O586" s="6" t="s">
        <v>25</v>
      </c>
      <c r="P586" s="6" t="s">
        <v>50</v>
      </c>
      <c r="Q586" t="s">
        <v>1411</v>
      </c>
      <c r="R586" s="6" t="s">
        <v>52</v>
      </c>
      <c r="S586" s="6" t="s">
        <v>29</v>
      </c>
      <c r="T586" s="14">
        <v>3.1800000000000002E-2</v>
      </c>
      <c r="U586">
        <v>3.18</v>
      </c>
      <c r="V586" t="str">
        <f>IF(fin_table[[#This Row],[Interest Rate(%)]]&gt;4,"high","low")</f>
        <v>low</v>
      </c>
      <c r="W586" s="5">
        <v>26681.654999999999</v>
      </c>
      <c r="X586" s="5">
        <f>fin_table[[#This Row],[Interest Rate]]*fin_table[[#This Row],[Loan Amount]]</f>
        <v>848.476629</v>
      </c>
      <c r="Y586">
        <v>13</v>
      </c>
      <c r="Z586" s="3">
        <v>661</v>
      </c>
      <c r="AA586" s="3" t="str">
        <f t="shared" si="67"/>
        <v>Fair</v>
      </c>
      <c r="AB586" s="3" cm="1">
        <f t="array" ref="AB586">_xlfn.IFS(fin_table[[#This Row],[Transaction Status]]="Failed", 1, fin_table[[#This Row],[Transaction Status]]="Completed",0,fin_table[[#This Row],[Transaction Status]]="Pending",2)</f>
        <v>1</v>
      </c>
      <c r="AC586" s="3" t="str">
        <f>IF(fin_table[[#This Row],[Loan Defaulters]]=1,"Default", "Good")</f>
        <v>Default</v>
      </c>
      <c r="AD586" s="3">
        <f t="shared" si="68"/>
        <v>2</v>
      </c>
      <c r="AE586" s="4">
        <v>4331.59</v>
      </c>
      <c r="AF586" s="4" t="str">
        <f>IF(fin_table[[#This Row],[Monthly Income]]&lt;3000, "Low Income", IF(fin_table[[#This Row],[Monthly Income]]&lt;=5000, "Middle Income", "High Income"))</f>
        <v>Middle Income</v>
      </c>
      <c r="AG586" t="s">
        <v>63</v>
      </c>
      <c r="AH586" t="s">
        <v>3635</v>
      </c>
      <c r="AI586" t="str">
        <f t="shared" si="69"/>
        <v>Low-Risk</v>
      </c>
    </row>
    <row r="587" spans="1:35" x14ac:dyDescent="0.35">
      <c r="A587" t="s">
        <v>2211</v>
      </c>
      <c r="B587" t="s">
        <v>2212</v>
      </c>
      <c r="C587" t="s">
        <v>2213</v>
      </c>
      <c r="D587" s="1">
        <v>44828</v>
      </c>
      <c r="E587" s="1" t="str">
        <f t="shared" si="63"/>
        <v>24</v>
      </c>
      <c r="F587" s="1" t="str">
        <f t="shared" si="64"/>
        <v>Sep</v>
      </c>
      <c r="G587" s="6" t="s">
        <v>34</v>
      </c>
      <c r="H587" s="5">
        <v>512.4</v>
      </c>
      <c r="I587" s="5" t="str">
        <f>IF(fin_table[[#This Row],[Account Balance]]&lt;20000,"Active", "Not Active")</f>
        <v>Active</v>
      </c>
      <c r="J587" s="5">
        <v>15333.3</v>
      </c>
      <c r="K587" s="5" t="str">
        <f t="shared" si="65"/>
        <v>Medium</v>
      </c>
      <c r="L587" s="6" t="s">
        <v>24</v>
      </c>
      <c r="M587">
        <v>27</v>
      </c>
      <c r="N587" s="6" t="str">
        <f t="shared" si="66"/>
        <v>Adults</v>
      </c>
      <c r="O587" s="6" t="s">
        <v>42</v>
      </c>
      <c r="P587" s="6" t="s">
        <v>50</v>
      </c>
      <c r="Q587" t="s">
        <v>280</v>
      </c>
      <c r="R587" s="6" t="s">
        <v>38</v>
      </c>
      <c r="S587" s="6" t="s">
        <v>29</v>
      </c>
      <c r="T587" s="14">
        <v>3.3599999999999998E-2</v>
      </c>
      <c r="U587">
        <v>3.36</v>
      </c>
      <c r="V587" t="str">
        <f>IF(fin_table[[#This Row],[Interest Rate(%)]]&gt;4,"high","low")</f>
        <v>low</v>
      </c>
      <c r="W587" s="5">
        <v>26681.654999999999</v>
      </c>
      <c r="X587" s="5">
        <f>fin_table[[#This Row],[Interest Rate]]*fin_table[[#This Row],[Loan Amount]]</f>
        <v>896.50360799999987</v>
      </c>
      <c r="Y587">
        <v>27</v>
      </c>
      <c r="Z587" s="3">
        <v>380</v>
      </c>
      <c r="AA587" s="3" t="str">
        <f t="shared" si="67"/>
        <v>Poor</v>
      </c>
      <c r="AB587" s="3" cm="1">
        <f t="array" ref="AB587">_xlfn.IFS(fin_table[[#This Row],[Transaction Status]]="Failed", 1, fin_table[[#This Row],[Transaction Status]]="Completed",0,fin_table[[#This Row],[Transaction Status]]="Pending",2)</f>
        <v>1</v>
      </c>
      <c r="AC587" s="3" t="str">
        <f>IF(fin_table[[#This Row],[Loan Defaulters]]=1,"Default", "Good")</f>
        <v>Default</v>
      </c>
      <c r="AD587" s="3">
        <f t="shared" si="68"/>
        <v>1</v>
      </c>
      <c r="AE587" s="4">
        <v>9451.9</v>
      </c>
      <c r="AF587" s="4" t="str">
        <f>IF(fin_table[[#This Row],[Monthly Income]]&lt;3000, "Low Income", IF(fin_table[[#This Row],[Monthly Income]]&lt;=5000, "Middle Income", "High Income"))</f>
        <v>High Income</v>
      </c>
      <c r="AG587" t="s">
        <v>63</v>
      </c>
      <c r="AH587" t="s">
        <v>3635</v>
      </c>
      <c r="AI587" t="str">
        <f t="shared" si="69"/>
        <v>Low-Risk</v>
      </c>
    </row>
    <row r="588" spans="1:35" x14ac:dyDescent="0.35">
      <c r="A588" t="s">
        <v>2214</v>
      </c>
      <c r="B588" t="s">
        <v>2215</v>
      </c>
      <c r="C588" t="s">
        <v>2216</v>
      </c>
      <c r="D588" s="1">
        <v>45101</v>
      </c>
      <c r="E588" s="1" t="str">
        <f t="shared" si="63"/>
        <v>24</v>
      </c>
      <c r="F588" s="1" t="str">
        <f t="shared" si="64"/>
        <v>Jun</v>
      </c>
      <c r="G588" s="6" t="s">
        <v>34</v>
      </c>
      <c r="H588" s="5">
        <v>4036.71</v>
      </c>
      <c r="I588" s="5" t="str">
        <f>IF(fin_table[[#This Row],[Account Balance]]&lt;20000,"Active", "Not Active")</f>
        <v>Active</v>
      </c>
      <c r="J588" s="5">
        <v>17278.07</v>
      </c>
      <c r="K588" s="5" t="str">
        <f t="shared" si="65"/>
        <v>Medium</v>
      </c>
      <c r="L588" s="6" t="s">
        <v>49</v>
      </c>
      <c r="M588">
        <v>55</v>
      </c>
      <c r="N588" s="6" t="str">
        <f t="shared" si="66"/>
        <v>Older Adults</v>
      </c>
      <c r="O588" s="6" t="s">
        <v>25</v>
      </c>
      <c r="P588" s="6" t="s">
        <v>26</v>
      </c>
      <c r="Q588" t="s">
        <v>1782</v>
      </c>
      <c r="R588" s="6" t="s">
        <v>28</v>
      </c>
      <c r="S588" s="6" t="s">
        <v>29</v>
      </c>
      <c r="T588" s="14">
        <v>4.7399999999999998E-2</v>
      </c>
      <c r="U588">
        <v>4.74</v>
      </c>
      <c r="V588" t="str">
        <f>IF(fin_table[[#This Row],[Interest Rate(%)]]&gt;4,"high","low")</f>
        <v>high</v>
      </c>
      <c r="W588" s="5">
        <v>30536.86</v>
      </c>
      <c r="X588" s="5">
        <f>fin_table[[#This Row],[Interest Rate]]*fin_table[[#This Row],[Loan Amount]]</f>
        <v>1447.4471639999999</v>
      </c>
      <c r="Y588">
        <v>5</v>
      </c>
      <c r="Z588" s="3">
        <v>584</v>
      </c>
      <c r="AA588" s="3" t="str">
        <f t="shared" si="67"/>
        <v>Fair</v>
      </c>
      <c r="AB588" s="3" cm="1">
        <f t="array" ref="AB588">_xlfn.IFS(fin_table[[#This Row],[Transaction Status]]="Failed", 1, fin_table[[#This Row],[Transaction Status]]="Completed",0,fin_table[[#This Row],[Transaction Status]]="Pending",2)</f>
        <v>1</v>
      </c>
      <c r="AC588" s="3" t="str">
        <f>IF(fin_table[[#This Row],[Loan Defaulters]]=1,"Default", "Good")</f>
        <v>Default</v>
      </c>
      <c r="AD588" s="3">
        <f t="shared" si="68"/>
        <v>2</v>
      </c>
      <c r="AE588" s="4">
        <v>14790</v>
      </c>
      <c r="AF588" s="4" t="str">
        <f>IF(fin_table[[#This Row],[Monthly Income]]&lt;3000, "Low Income", IF(fin_table[[#This Row],[Monthly Income]]&lt;=5000, "Middle Income", "High Income"))</f>
        <v>High Income</v>
      </c>
      <c r="AG588" t="s">
        <v>30</v>
      </c>
      <c r="AH588" t="s">
        <v>3636</v>
      </c>
      <c r="AI588" t="str">
        <f t="shared" si="69"/>
        <v>Low-Risk</v>
      </c>
    </row>
    <row r="589" spans="1:35" x14ac:dyDescent="0.35">
      <c r="A589" t="s">
        <v>2217</v>
      </c>
      <c r="B589" t="s">
        <v>2218</v>
      </c>
      <c r="C589" t="s">
        <v>2219</v>
      </c>
      <c r="D589" s="1">
        <v>44980</v>
      </c>
      <c r="E589" s="1" t="str">
        <f t="shared" si="63"/>
        <v>23</v>
      </c>
      <c r="F589" s="1" t="str">
        <f t="shared" si="64"/>
        <v>Feb</v>
      </c>
      <c r="G589" s="6" t="s">
        <v>34</v>
      </c>
      <c r="H589" s="5">
        <v>7646.86</v>
      </c>
      <c r="I589" s="5" t="str">
        <f>IF(fin_table[[#This Row],[Account Balance]]&lt;20000,"Active", "Not Active")</f>
        <v>Active</v>
      </c>
      <c r="J589" s="5">
        <v>15395.02</v>
      </c>
      <c r="K589" s="5" t="str">
        <f t="shared" si="65"/>
        <v>Medium</v>
      </c>
      <c r="L589" s="6" t="s">
        <v>24</v>
      </c>
      <c r="M589">
        <v>44</v>
      </c>
      <c r="N589" s="6" t="str">
        <f t="shared" si="66"/>
        <v>Middle-Aged</v>
      </c>
      <c r="O589" s="6" t="s">
        <v>42</v>
      </c>
      <c r="P589" s="6" t="s">
        <v>36</v>
      </c>
      <c r="Q589" t="s">
        <v>2220</v>
      </c>
      <c r="R589" s="6" t="s">
        <v>38</v>
      </c>
      <c r="S589" s="6" t="s">
        <v>29</v>
      </c>
      <c r="T589" s="14">
        <v>1.03E-2</v>
      </c>
      <c r="U589">
        <v>1.03</v>
      </c>
      <c r="V589" t="str">
        <f>IF(fin_table[[#This Row],[Interest Rate(%)]]&gt;4,"high","low")</f>
        <v>low</v>
      </c>
      <c r="W589" s="5">
        <v>26681.654999999999</v>
      </c>
      <c r="X589" s="5">
        <f>fin_table[[#This Row],[Interest Rate]]*fin_table[[#This Row],[Loan Amount]]</f>
        <v>274.82104649999997</v>
      </c>
      <c r="Y589">
        <v>13</v>
      </c>
      <c r="Z589" s="3">
        <v>668</v>
      </c>
      <c r="AA589" s="3" t="str">
        <f t="shared" si="67"/>
        <v>Fair</v>
      </c>
      <c r="AB589" s="3" cm="1">
        <f t="array" ref="AB589">_xlfn.IFS(fin_table[[#This Row],[Transaction Status]]="Failed", 1, fin_table[[#This Row],[Transaction Status]]="Completed",0,fin_table[[#This Row],[Transaction Status]]="Pending",2)</f>
        <v>1</v>
      </c>
      <c r="AC589" s="3" t="str">
        <f>IF(fin_table[[#This Row],[Loan Defaulters]]=1,"Default", "Good")</f>
        <v>Default</v>
      </c>
      <c r="AD589" s="3">
        <f t="shared" si="68"/>
        <v>2</v>
      </c>
      <c r="AE589" s="4">
        <v>5782.46</v>
      </c>
      <c r="AF589" s="4" t="str">
        <f>IF(fin_table[[#This Row],[Monthly Income]]&lt;3000, "Low Income", IF(fin_table[[#This Row],[Monthly Income]]&lt;=5000, "Middle Income", "High Income"))</f>
        <v>High Income</v>
      </c>
      <c r="AG589" t="s">
        <v>63</v>
      </c>
      <c r="AH589" t="s">
        <v>3635</v>
      </c>
      <c r="AI589" t="str">
        <f t="shared" si="69"/>
        <v>Low-Risk</v>
      </c>
    </row>
    <row r="590" spans="1:35" x14ac:dyDescent="0.35">
      <c r="A590" t="s">
        <v>2221</v>
      </c>
      <c r="B590" t="s">
        <v>2222</v>
      </c>
      <c r="C590" t="s">
        <v>2223</v>
      </c>
      <c r="D590" s="1">
        <v>44834</v>
      </c>
      <c r="E590" s="1" t="str">
        <f t="shared" si="63"/>
        <v>30</v>
      </c>
      <c r="F590" s="1" t="str">
        <f t="shared" si="64"/>
        <v>Sep</v>
      </c>
      <c r="G590" s="6" t="s">
        <v>23</v>
      </c>
      <c r="H590" s="5">
        <v>4603.7</v>
      </c>
      <c r="I590" s="5" t="str">
        <f>IF(fin_table[[#This Row],[Account Balance]]&lt;20000,"Active", "Not Active")</f>
        <v>Active</v>
      </c>
      <c r="J590" s="5">
        <v>3033.46</v>
      </c>
      <c r="K590" s="5" t="str">
        <f t="shared" si="65"/>
        <v>Low</v>
      </c>
      <c r="L590" s="6" t="s">
        <v>35</v>
      </c>
      <c r="M590">
        <v>68</v>
      </c>
      <c r="N590" s="6" t="str">
        <f t="shared" si="66"/>
        <v>Seniors</v>
      </c>
      <c r="O590" s="6" t="s">
        <v>42</v>
      </c>
      <c r="P590" s="6" t="s">
        <v>50</v>
      </c>
      <c r="Q590" t="s">
        <v>2224</v>
      </c>
      <c r="R590" s="6" t="s">
        <v>52</v>
      </c>
      <c r="S590" s="6" t="s">
        <v>62</v>
      </c>
      <c r="T590" s="14">
        <v>1.1900000000000001E-2</v>
      </c>
      <c r="U590">
        <v>1.19</v>
      </c>
      <c r="V590" t="str">
        <f>IF(fin_table[[#This Row],[Interest Rate(%)]]&gt;4,"high","low")</f>
        <v>low</v>
      </c>
      <c r="W590" s="5">
        <v>31900.81</v>
      </c>
      <c r="X590" s="5">
        <f>fin_table[[#This Row],[Interest Rate]]*fin_table[[#This Row],[Loan Amount]]</f>
        <v>379.61963900000006</v>
      </c>
      <c r="Y590">
        <v>12</v>
      </c>
      <c r="Z590" s="3">
        <v>791</v>
      </c>
      <c r="AA590" s="3" t="str">
        <f t="shared" si="67"/>
        <v>Very Good</v>
      </c>
      <c r="AB590" s="3" cm="1">
        <f t="array" ref="AB590">_xlfn.IFS(fin_table[[#This Row],[Transaction Status]]="Failed", 1, fin_table[[#This Row],[Transaction Status]]="Completed",0,fin_table[[#This Row],[Transaction Status]]="Pending",2)</f>
        <v>2</v>
      </c>
      <c r="AC590" s="3" t="str">
        <f>IF(fin_table[[#This Row],[Loan Defaulters]]=1,"Default", "Good")</f>
        <v>Good</v>
      </c>
      <c r="AD590" s="3">
        <f t="shared" si="68"/>
        <v>4</v>
      </c>
      <c r="AE590" s="4">
        <v>12326.58</v>
      </c>
      <c r="AF590" s="4" t="str">
        <f>IF(fin_table[[#This Row],[Monthly Income]]&lt;3000, "Low Income", IF(fin_table[[#This Row],[Monthly Income]]&lt;=5000, "Middle Income", "High Income"))</f>
        <v>High Income</v>
      </c>
      <c r="AG590" t="s">
        <v>63</v>
      </c>
      <c r="AH590" t="s">
        <v>3636</v>
      </c>
      <c r="AI590" t="str">
        <f t="shared" si="69"/>
        <v>Low-Risk</v>
      </c>
    </row>
    <row r="591" spans="1:35" x14ac:dyDescent="0.35">
      <c r="A591" t="s">
        <v>2225</v>
      </c>
      <c r="B591" t="s">
        <v>2226</v>
      </c>
      <c r="C591" t="s">
        <v>2227</v>
      </c>
      <c r="D591" s="1">
        <v>44886</v>
      </c>
      <c r="E591" s="1" t="str">
        <f t="shared" si="63"/>
        <v>21</v>
      </c>
      <c r="F591" s="1" t="str">
        <f t="shared" si="64"/>
        <v>Nov</v>
      </c>
      <c r="G591" s="6" t="s">
        <v>71</v>
      </c>
      <c r="H591" s="5">
        <v>2745.8</v>
      </c>
      <c r="I591" s="5" t="str">
        <f>IF(fin_table[[#This Row],[Account Balance]]&lt;20000,"Active", "Not Active")</f>
        <v>Not Active</v>
      </c>
      <c r="J591" s="5">
        <v>32217.64</v>
      </c>
      <c r="K591" s="5" t="str">
        <f t="shared" si="65"/>
        <v>Medium</v>
      </c>
      <c r="L591" s="6" t="s">
        <v>35</v>
      </c>
      <c r="M591">
        <v>38</v>
      </c>
      <c r="N591" s="6" t="str">
        <f t="shared" si="66"/>
        <v>Middle-Aged</v>
      </c>
      <c r="O591" s="6" t="s">
        <v>25</v>
      </c>
      <c r="P591" s="6" t="s">
        <v>36</v>
      </c>
      <c r="Q591" t="s">
        <v>2228</v>
      </c>
      <c r="R591" s="6" t="s">
        <v>38</v>
      </c>
      <c r="S591" s="6" t="s">
        <v>29</v>
      </c>
      <c r="T591" s="14">
        <v>1.77E-2</v>
      </c>
      <c r="U591">
        <v>1.77</v>
      </c>
      <c r="V591" t="str">
        <f>IF(fin_table[[#This Row],[Interest Rate(%)]]&gt;4,"high","low")</f>
        <v>low</v>
      </c>
      <c r="W591" s="5">
        <v>26681.654999999999</v>
      </c>
      <c r="X591" s="5">
        <f>fin_table[[#This Row],[Interest Rate]]*fin_table[[#This Row],[Loan Amount]]</f>
        <v>472.26529349999998</v>
      </c>
      <c r="Y591">
        <v>13</v>
      </c>
      <c r="Z591" s="3">
        <v>645</v>
      </c>
      <c r="AA591" s="3" t="str">
        <f t="shared" si="67"/>
        <v>Fair</v>
      </c>
      <c r="AB591" s="3" cm="1">
        <f t="array" ref="AB591">_xlfn.IFS(fin_table[[#This Row],[Transaction Status]]="Failed", 1, fin_table[[#This Row],[Transaction Status]]="Completed",0,fin_table[[#This Row],[Transaction Status]]="Pending",2)</f>
        <v>1</v>
      </c>
      <c r="AC591" s="3" t="str">
        <f>IF(fin_table[[#This Row],[Loan Defaulters]]=1,"Default", "Good")</f>
        <v>Default</v>
      </c>
      <c r="AD591" s="3">
        <f t="shared" si="68"/>
        <v>2</v>
      </c>
      <c r="AE591" s="4">
        <v>8376.2199999999993</v>
      </c>
      <c r="AF591" s="4" t="str">
        <f>IF(fin_table[[#This Row],[Monthly Income]]&lt;3000, "Low Income", IF(fin_table[[#This Row],[Monthly Income]]&lt;=5000, "Middle Income", "High Income"))</f>
        <v>High Income</v>
      </c>
      <c r="AG591" t="s">
        <v>30</v>
      </c>
      <c r="AH591" t="s">
        <v>3635</v>
      </c>
      <c r="AI591" t="str">
        <f t="shared" si="69"/>
        <v>Low-Risk</v>
      </c>
    </row>
    <row r="592" spans="1:35" x14ac:dyDescent="0.35">
      <c r="A592" t="s">
        <v>2229</v>
      </c>
      <c r="B592" t="s">
        <v>2230</v>
      </c>
      <c r="C592" t="s">
        <v>2231</v>
      </c>
      <c r="D592" s="1">
        <v>44922</v>
      </c>
      <c r="E592" s="1" t="str">
        <f t="shared" si="63"/>
        <v>27</v>
      </c>
      <c r="F592" s="1" t="str">
        <f t="shared" si="64"/>
        <v>Dec</v>
      </c>
      <c r="G592" s="6" t="s">
        <v>34</v>
      </c>
      <c r="H592" s="5">
        <v>2276.0700000000002</v>
      </c>
      <c r="I592" s="5" t="str">
        <f>IF(fin_table[[#This Row],[Account Balance]]&lt;20000,"Active", "Not Active")</f>
        <v>Not Active</v>
      </c>
      <c r="J592" s="5">
        <v>30267.33</v>
      </c>
      <c r="K592" s="5" t="str">
        <f t="shared" si="65"/>
        <v>Medium</v>
      </c>
      <c r="L592" s="6" t="s">
        <v>49</v>
      </c>
      <c r="M592">
        <v>25</v>
      </c>
      <c r="N592" s="6" t="str">
        <f t="shared" si="66"/>
        <v>Young Adults</v>
      </c>
      <c r="O592" s="6" t="s">
        <v>42</v>
      </c>
      <c r="P592" s="6" t="s">
        <v>50</v>
      </c>
      <c r="Q592" t="s">
        <v>649</v>
      </c>
      <c r="R592" s="6" t="s">
        <v>52</v>
      </c>
      <c r="S592" s="6" t="s">
        <v>62</v>
      </c>
      <c r="T592" s="14">
        <v>1.67E-2</v>
      </c>
      <c r="U592">
        <v>1.67</v>
      </c>
      <c r="V592" t="str">
        <f>IF(fin_table[[#This Row],[Interest Rate(%)]]&gt;4,"high","low")</f>
        <v>low</v>
      </c>
      <c r="W592" s="5">
        <v>20879.48</v>
      </c>
      <c r="X592" s="5">
        <f>fin_table[[#This Row],[Interest Rate]]*fin_table[[#This Row],[Loan Amount]]</f>
        <v>348.68731600000001</v>
      </c>
      <c r="Y592">
        <v>2</v>
      </c>
      <c r="Z592" s="3">
        <v>503</v>
      </c>
      <c r="AA592" s="3" t="str">
        <f t="shared" si="67"/>
        <v>Poor</v>
      </c>
      <c r="AB592" s="3" cm="1">
        <f t="array" ref="AB592">_xlfn.IFS(fin_table[[#This Row],[Transaction Status]]="Failed", 1, fin_table[[#This Row],[Transaction Status]]="Completed",0,fin_table[[#This Row],[Transaction Status]]="Pending",2)</f>
        <v>2</v>
      </c>
      <c r="AC592" s="3" t="str">
        <f>IF(fin_table[[#This Row],[Loan Defaulters]]=1,"Default", "Good")</f>
        <v>Good</v>
      </c>
      <c r="AD592" s="3">
        <f t="shared" si="68"/>
        <v>1</v>
      </c>
      <c r="AE592" s="4">
        <v>2517.4699999999998</v>
      </c>
      <c r="AF592" s="4" t="str">
        <f>IF(fin_table[[#This Row],[Monthly Income]]&lt;3000, "Low Income", IF(fin_table[[#This Row],[Monthly Income]]&lt;=5000, "Middle Income", "High Income"))</f>
        <v>Low Income</v>
      </c>
      <c r="AG592" t="s">
        <v>30</v>
      </c>
      <c r="AH592" t="s">
        <v>3636</v>
      </c>
      <c r="AI592" t="str">
        <f t="shared" si="69"/>
        <v>Low-Risk</v>
      </c>
    </row>
    <row r="593" spans="1:35" x14ac:dyDescent="0.35">
      <c r="A593" t="s">
        <v>2232</v>
      </c>
      <c r="B593" t="s">
        <v>2233</v>
      </c>
      <c r="C593" t="s">
        <v>2234</v>
      </c>
      <c r="D593" s="1">
        <v>44973</v>
      </c>
      <c r="E593" s="1" t="str">
        <f t="shared" si="63"/>
        <v>16</v>
      </c>
      <c r="F593" s="1" t="str">
        <f t="shared" si="64"/>
        <v>Feb</v>
      </c>
      <c r="G593" s="6" t="s">
        <v>34</v>
      </c>
      <c r="H593" s="5">
        <v>1402.03</v>
      </c>
      <c r="I593" s="5" t="str">
        <f>IF(fin_table[[#This Row],[Account Balance]]&lt;20000,"Active", "Not Active")</f>
        <v>Not Active</v>
      </c>
      <c r="J593" s="5">
        <v>33015.79</v>
      </c>
      <c r="K593" s="5" t="str">
        <f t="shared" si="65"/>
        <v>Medium</v>
      </c>
      <c r="L593" s="6" t="s">
        <v>125</v>
      </c>
      <c r="M593">
        <v>18</v>
      </c>
      <c r="N593" s="6" t="str">
        <f t="shared" si="66"/>
        <v>Young Adults</v>
      </c>
      <c r="O593" s="6" t="s">
        <v>25</v>
      </c>
      <c r="P593" s="6" t="s">
        <v>26</v>
      </c>
      <c r="Q593" t="s">
        <v>2235</v>
      </c>
      <c r="R593" s="6" t="s">
        <v>52</v>
      </c>
      <c r="S593" s="6" t="s">
        <v>62</v>
      </c>
      <c r="T593" s="14">
        <v>1.72E-2</v>
      </c>
      <c r="U593">
        <v>1.72</v>
      </c>
      <c r="V593" t="str">
        <f>IF(fin_table[[#This Row],[Interest Rate(%)]]&gt;4,"high","low")</f>
        <v>low</v>
      </c>
      <c r="W593" s="5">
        <v>26681.654999999999</v>
      </c>
      <c r="X593" s="5">
        <f>fin_table[[#This Row],[Interest Rate]]*fin_table[[#This Row],[Loan Amount]]</f>
        <v>458.924466</v>
      </c>
      <c r="Y593">
        <v>13</v>
      </c>
      <c r="Z593" s="3">
        <v>324</v>
      </c>
      <c r="AA593" s="3" t="str">
        <f t="shared" si="67"/>
        <v>Poor</v>
      </c>
      <c r="AB593" s="3" cm="1">
        <f t="array" ref="AB593">_xlfn.IFS(fin_table[[#This Row],[Transaction Status]]="Failed", 1, fin_table[[#This Row],[Transaction Status]]="Completed",0,fin_table[[#This Row],[Transaction Status]]="Pending",2)</f>
        <v>2</v>
      </c>
      <c r="AC593" s="3" t="str">
        <f>IF(fin_table[[#This Row],[Loan Defaulters]]=1,"Default", "Good")</f>
        <v>Good</v>
      </c>
      <c r="AD593" s="3">
        <f t="shared" si="68"/>
        <v>1</v>
      </c>
      <c r="AE593" s="4">
        <v>11919.25</v>
      </c>
      <c r="AF593" s="4" t="str">
        <f>IF(fin_table[[#This Row],[Monthly Income]]&lt;3000, "Low Income", IF(fin_table[[#This Row],[Monthly Income]]&lt;=5000, "Middle Income", "High Income"))</f>
        <v>High Income</v>
      </c>
      <c r="AG593" t="s">
        <v>30</v>
      </c>
      <c r="AH593" t="s">
        <v>3635</v>
      </c>
      <c r="AI593" t="str">
        <f t="shared" si="69"/>
        <v>Low-Risk</v>
      </c>
    </row>
    <row r="594" spans="1:35" x14ac:dyDescent="0.35">
      <c r="A594" t="s">
        <v>2236</v>
      </c>
      <c r="B594" t="s">
        <v>2237</v>
      </c>
      <c r="C594" t="s">
        <v>2238</v>
      </c>
      <c r="D594" s="1">
        <v>44945</v>
      </c>
      <c r="E594" s="1" t="str">
        <f t="shared" si="63"/>
        <v>19</v>
      </c>
      <c r="F594" s="1" t="str">
        <f t="shared" si="64"/>
        <v>Jan</v>
      </c>
      <c r="G594" s="6" t="s">
        <v>71</v>
      </c>
      <c r="H594" s="5">
        <v>8585.58</v>
      </c>
      <c r="I594" s="5" t="str">
        <f>IF(fin_table[[#This Row],[Account Balance]]&lt;20000,"Active", "Not Active")</f>
        <v>Active</v>
      </c>
      <c r="J594" s="5">
        <v>10423.18</v>
      </c>
      <c r="K594" s="5" t="str">
        <f t="shared" si="65"/>
        <v>Medium</v>
      </c>
      <c r="L594" s="6" t="s">
        <v>35</v>
      </c>
      <c r="M594">
        <v>45</v>
      </c>
      <c r="N594" s="6" t="str">
        <f t="shared" si="66"/>
        <v>Middle-Aged</v>
      </c>
      <c r="O594" s="6" t="s">
        <v>42</v>
      </c>
      <c r="P594" s="6" t="s">
        <v>36</v>
      </c>
      <c r="Q594" t="s">
        <v>1704</v>
      </c>
      <c r="R594" s="6" t="s">
        <v>52</v>
      </c>
      <c r="S594" s="6" t="s">
        <v>44</v>
      </c>
      <c r="T594" s="14">
        <v>3.6900000000000002E-2</v>
      </c>
      <c r="U594">
        <v>3.69</v>
      </c>
      <c r="V594" t="str">
        <f>IF(fin_table[[#This Row],[Interest Rate(%)]]&gt;4,"high","low")</f>
        <v>low</v>
      </c>
      <c r="W594" s="5">
        <v>46608.52</v>
      </c>
      <c r="X594" s="5">
        <f>fin_table[[#This Row],[Interest Rate]]*fin_table[[#This Row],[Loan Amount]]</f>
        <v>1719.854388</v>
      </c>
      <c r="Y594">
        <v>13</v>
      </c>
      <c r="Z594" s="3">
        <v>368</v>
      </c>
      <c r="AA594" s="3" t="str">
        <f t="shared" si="67"/>
        <v>Poor</v>
      </c>
      <c r="AB594" s="3" cm="1">
        <f t="array" ref="AB594">_xlfn.IFS(fin_table[[#This Row],[Transaction Status]]="Failed", 1, fin_table[[#This Row],[Transaction Status]]="Completed",0,fin_table[[#This Row],[Transaction Status]]="Pending",2)</f>
        <v>0</v>
      </c>
      <c r="AC594" s="3" t="str">
        <f>IF(fin_table[[#This Row],[Loan Defaulters]]=1,"Default", "Good")</f>
        <v>Good</v>
      </c>
      <c r="AD594" s="3">
        <f t="shared" si="68"/>
        <v>1</v>
      </c>
      <c r="AE594" s="4">
        <v>4191.3999999999996</v>
      </c>
      <c r="AF594" s="4" t="str">
        <f>IF(fin_table[[#This Row],[Monthly Income]]&lt;3000, "Low Income", IF(fin_table[[#This Row],[Monthly Income]]&lt;=5000, "Middle Income", "High Income"))</f>
        <v>Middle Income</v>
      </c>
      <c r="AG594" t="s">
        <v>45</v>
      </c>
      <c r="AH594" t="s">
        <v>3636</v>
      </c>
      <c r="AI594" t="str">
        <f t="shared" si="69"/>
        <v>High-Risk</v>
      </c>
    </row>
    <row r="595" spans="1:35" x14ac:dyDescent="0.35">
      <c r="A595" t="s">
        <v>2239</v>
      </c>
      <c r="B595" t="s">
        <v>2240</v>
      </c>
      <c r="C595" t="s">
        <v>2241</v>
      </c>
      <c r="D595" s="1">
        <v>44940</v>
      </c>
      <c r="E595" s="1" t="str">
        <f t="shared" si="63"/>
        <v>14</v>
      </c>
      <c r="F595" s="1" t="str">
        <f t="shared" si="64"/>
        <v>Jan</v>
      </c>
      <c r="G595" s="6" t="s">
        <v>34</v>
      </c>
      <c r="H595" s="5">
        <v>5796.02</v>
      </c>
      <c r="I595" s="5" t="str">
        <f>IF(fin_table[[#This Row],[Account Balance]]&lt;20000,"Active", "Not Active")</f>
        <v>Active</v>
      </c>
      <c r="J595" s="5">
        <v>15487.07</v>
      </c>
      <c r="K595" s="5" t="str">
        <f t="shared" si="65"/>
        <v>Medium</v>
      </c>
      <c r="L595" s="6" t="s">
        <v>100</v>
      </c>
      <c r="M595">
        <v>66</v>
      </c>
      <c r="N595" s="6" t="str">
        <f t="shared" si="66"/>
        <v>Seniors</v>
      </c>
      <c r="O595" s="6" t="s">
        <v>42</v>
      </c>
      <c r="P595" s="6" t="s">
        <v>50</v>
      </c>
      <c r="Q595" t="s">
        <v>2242</v>
      </c>
      <c r="R595" s="6" t="s">
        <v>52</v>
      </c>
      <c r="S595" s="6" t="s">
        <v>62</v>
      </c>
      <c r="T595" s="14">
        <v>2.8400000000000002E-2</v>
      </c>
      <c r="U595">
        <v>2.84</v>
      </c>
      <c r="V595" t="str">
        <f>IF(fin_table[[#This Row],[Interest Rate(%)]]&gt;4,"high","low")</f>
        <v>low</v>
      </c>
      <c r="W595" s="5">
        <v>9680.56</v>
      </c>
      <c r="X595" s="5">
        <f>fin_table[[#This Row],[Interest Rate]]*fin_table[[#This Row],[Loan Amount]]</f>
        <v>274.92790400000001</v>
      </c>
      <c r="Y595">
        <v>23</v>
      </c>
      <c r="Z595" s="3">
        <v>815</v>
      </c>
      <c r="AA595" s="3" t="str">
        <f t="shared" si="67"/>
        <v>Excellent</v>
      </c>
      <c r="AB595" s="3" cm="1">
        <f t="array" ref="AB595">_xlfn.IFS(fin_table[[#This Row],[Transaction Status]]="Failed", 1, fin_table[[#This Row],[Transaction Status]]="Completed",0,fin_table[[#This Row],[Transaction Status]]="Pending",2)</f>
        <v>2</v>
      </c>
      <c r="AC595" s="3" t="str">
        <f>IF(fin_table[[#This Row],[Loan Defaulters]]=1,"Default", "Good")</f>
        <v>Good</v>
      </c>
      <c r="AD595" s="3">
        <f t="shared" si="68"/>
        <v>5</v>
      </c>
      <c r="AE595" s="4">
        <v>10209.16</v>
      </c>
      <c r="AF595" s="4" t="str">
        <f>IF(fin_table[[#This Row],[Monthly Income]]&lt;3000, "Low Income", IF(fin_table[[#This Row],[Monthly Income]]&lt;=5000, "Middle Income", "High Income"))</f>
        <v>High Income</v>
      </c>
      <c r="AG595" t="s">
        <v>45</v>
      </c>
      <c r="AH595" t="s">
        <v>3636</v>
      </c>
      <c r="AI595" t="str">
        <f t="shared" si="69"/>
        <v>Low-Risk</v>
      </c>
    </row>
    <row r="596" spans="1:35" x14ac:dyDescent="0.35">
      <c r="A596" t="s">
        <v>2243</v>
      </c>
      <c r="B596" t="s">
        <v>2244</v>
      </c>
      <c r="C596" t="s">
        <v>2245</v>
      </c>
      <c r="D596" s="1">
        <v>44981</v>
      </c>
      <c r="E596" s="1" t="str">
        <f t="shared" si="63"/>
        <v>24</v>
      </c>
      <c r="F596" s="1" t="str">
        <f t="shared" si="64"/>
        <v>Feb</v>
      </c>
      <c r="G596" s="6" t="s">
        <v>71</v>
      </c>
      <c r="H596" s="5">
        <v>856.21</v>
      </c>
      <c r="I596" s="5" t="str">
        <f>IF(fin_table[[#This Row],[Account Balance]]&lt;20000,"Active", "Not Active")</f>
        <v>Not Active</v>
      </c>
      <c r="J596" s="5">
        <v>31361.18</v>
      </c>
      <c r="K596" s="5" t="str">
        <f t="shared" si="65"/>
        <v>Medium</v>
      </c>
      <c r="L596" s="6" t="s">
        <v>49</v>
      </c>
      <c r="M596">
        <v>56</v>
      </c>
      <c r="N596" s="6" t="str">
        <f t="shared" si="66"/>
        <v>Older Adults</v>
      </c>
      <c r="O596" s="6" t="s">
        <v>25</v>
      </c>
      <c r="P596" s="6" t="s">
        <v>26</v>
      </c>
      <c r="Q596" t="s">
        <v>818</v>
      </c>
      <c r="R596" s="6" t="s">
        <v>38</v>
      </c>
      <c r="S596" s="6" t="s">
        <v>62</v>
      </c>
      <c r="T596" s="14">
        <v>4.9700000000000001E-2</v>
      </c>
      <c r="U596">
        <v>4.97</v>
      </c>
      <c r="V596" t="str">
        <f>IF(fin_table[[#This Row],[Interest Rate(%)]]&gt;4,"high","low")</f>
        <v>high</v>
      </c>
      <c r="W596" s="5">
        <v>26681.654999999999</v>
      </c>
      <c r="X596" s="5">
        <f>fin_table[[#This Row],[Interest Rate]]*fin_table[[#This Row],[Loan Amount]]</f>
        <v>1326.0782535000001</v>
      </c>
      <c r="Y596">
        <v>21</v>
      </c>
      <c r="Z596" s="3">
        <v>791</v>
      </c>
      <c r="AA596" s="3" t="str">
        <f t="shared" si="67"/>
        <v>Very Good</v>
      </c>
      <c r="AB596" s="3" cm="1">
        <f t="array" ref="AB596">_xlfn.IFS(fin_table[[#This Row],[Transaction Status]]="Failed", 1, fin_table[[#This Row],[Transaction Status]]="Completed",0,fin_table[[#This Row],[Transaction Status]]="Pending",2)</f>
        <v>2</v>
      </c>
      <c r="AC596" s="3" t="str">
        <f>IF(fin_table[[#This Row],[Loan Defaulters]]=1,"Default", "Good")</f>
        <v>Good</v>
      </c>
      <c r="AD596" s="3">
        <f t="shared" si="68"/>
        <v>4</v>
      </c>
      <c r="AE596" s="4">
        <v>3113.63</v>
      </c>
      <c r="AF596" s="4" t="str">
        <f>IF(fin_table[[#This Row],[Monthly Income]]&lt;3000, "Low Income", IF(fin_table[[#This Row],[Monthly Income]]&lt;=5000, "Middle Income", "High Income"))</f>
        <v>Middle Income</v>
      </c>
      <c r="AG596" t="s">
        <v>63</v>
      </c>
      <c r="AH596" t="s">
        <v>3635</v>
      </c>
      <c r="AI596" t="str">
        <f t="shared" si="69"/>
        <v>Low-Risk</v>
      </c>
    </row>
    <row r="597" spans="1:35" x14ac:dyDescent="0.35">
      <c r="A597" t="s">
        <v>2246</v>
      </c>
      <c r="B597" t="s">
        <v>2247</v>
      </c>
      <c r="C597" t="s">
        <v>2248</v>
      </c>
      <c r="D597" s="1">
        <v>44629</v>
      </c>
      <c r="E597" s="1" t="str">
        <f t="shared" si="63"/>
        <v>09</v>
      </c>
      <c r="F597" s="1" t="str">
        <f t="shared" si="64"/>
        <v>Mar</v>
      </c>
      <c r="G597" s="6" t="s">
        <v>71</v>
      </c>
      <c r="H597" s="5">
        <v>3887.55</v>
      </c>
      <c r="I597" s="5" t="str">
        <f>IF(fin_table[[#This Row],[Account Balance]]&lt;20000,"Active", "Not Active")</f>
        <v>Not Active</v>
      </c>
      <c r="J597" s="5">
        <v>30381.75</v>
      </c>
      <c r="K597" s="5" t="str">
        <f t="shared" si="65"/>
        <v>Medium</v>
      </c>
      <c r="L597" s="6" t="s">
        <v>24</v>
      </c>
      <c r="M597">
        <v>31</v>
      </c>
      <c r="N597" s="6" t="str">
        <f t="shared" si="66"/>
        <v>Adults</v>
      </c>
      <c r="O597" s="6" t="s">
        <v>42</v>
      </c>
      <c r="P597" s="6" t="s">
        <v>26</v>
      </c>
      <c r="Q597" t="s">
        <v>2249</v>
      </c>
      <c r="R597" s="6" t="s">
        <v>52</v>
      </c>
      <c r="S597" s="6" t="s">
        <v>29</v>
      </c>
      <c r="T597" s="14">
        <v>1.9099999999999999E-2</v>
      </c>
      <c r="U597">
        <v>1.91</v>
      </c>
      <c r="V597" t="str">
        <f>IF(fin_table[[#This Row],[Interest Rate(%)]]&gt;4,"high","low")</f>
        <v>low</v>
      </c>
      <c r="W597" s="5">
        <v>15174.46</v>
      </c>
      <c r="X597" s="5">
        <f>fin_table[[#This Row],[Interest Rate]]*fin_table[[#This Row],[Loan Amount]]</f>
        <v>289.83218599999998</v>
      </c>
      <c r="Y597">
        <v>25</v>
      </c>
      <c r="Z597" s="3">
        <v>539</v>
      </c>
      <c r="AA597" s="3" t="str">
        <f t="shared" si="67"/>
        <v>Poor</v>
      </c>
      <c r="AB597" s="3" cm="1">
        <f t="array" ref="AB597">_xlfn.IFS(fin_table[[#This Row],[Transaction Status]]="Failed", 1, fin_table[[#This Row],[Transaction Status]]="Completed",0,fin_table[[#This Row],[Transaction Status]]="Pending",2)</f>
        <v>1</v>
      </c>
      <c r="AC597" s="3" t="str">
        <f>IF(fin_table[[#This Row],[Loan Defaulters]]=1,"Default", "Good")</f>
        <v>Default</v>
      </c>
      <c r="AD597" s="3">
        <f t="shared" si="68"/>
        <v>1</v>
      </c>
      <c r="AE597" s="4">
        <v>14309.28</v>
      </c>
      <c r="AF597" s="4" t="str">
        <f>IF(fin_table[[#This Row],[Monthly Income]]&lt;3000, "Low Income", IF(fin_table[[#This Row],[Monthly Income]]&lt;=5000, "Middle Income", "High Income"))</f>
        <v>High Income</v>
      </c>
      <c r="AG597" t="s">
        <v>63</v>
      </c>
      <c r="AH597" t="s">
        <v>3636</v>
      </c>
      <c r="AI597" t="str">
        <f t="shared" si="69"/>
        <v>Low-Risk</v>
      </c>
    </row>
    <row r="598" spans="1:35" x14ac:dyDescent="0.35">
      <c r="A598" t="s">
        <v>2250</v>
      </c>
      <c r="B598" t="s">
        <v>2251</v>
      </c>
      <c r="C598" t="s">
        <v>2252</v>
      </c>
      <c r="D598" s="1">
        <v>45128</v>
      </c>
      <c r="E598" s="1" t="str">
        <f t="shared" si="63"/>
        <v>21</v>
      </c>
      <c r="F598" s="1" t="str">
        <f t="shared" si="64"/>
        <v>Jul</v>
      </c>
      <c r="G598" s="6" t="s">
        <v>23</v>
      </c>
      <c r="H598" s="5">
        <v>3740.56</v>
      </c>
      <c r="I598" s="5" t="str">
        <f>IF(fin_table[[#This Row],[Account Balance]]&lt;20000,"Active", "Not Active")</f>
        <v>Not Active</v>
      </c>
      <c r="J598" s="5">
        <v>25810.19</v>
      </c>
      <c r="K598" s="5" t="str">
        <f t="shared" si="65"/>
        <v>Medium</v>
      </c>
      <c r="L598" s="6" t="s">
        <v>24</v>
      </c>
      <c r="M598">
        <v>38</v>
      </c>
      <c r="N598" s="6" t="str">
        <f t="shared" si="66"/>
        <v>Middle-Aged</v>
      </c>
      <c r="O598" s="6" t="s">
        <v>42</v>
      </c>
      <c r="P598" s="6" t="s">
        <v>26</v>
      </c>
      <c r="Q598" t="s">
        <v>375</v>
      </c>
      <c r="R598" s="6" t="s">
        <v>52</v>
      </c>
      <c r="S598" s="6" t="s">
        <v>62</v>
      </c>
      <c r="T598" s="14">
        <v>2.24E-2</v>
      </c>
      <c r="U598">
        <v>2.2400000000000002</v>
      </c>
      <c r="V598" t="str">
        <f>IF(fin_table[[#This Row],[Interest Rate(%)]]&gt;4,"high","low")</f>
        <v>low</v>
      </c>
      <c r="W598" s="5">
        <v>26681.654999999999</v>
      </c>
      <c r="X598" s="5">
        <f>fin_table[[#This Row],[Interest Rate]]*fin_table[[#This Row],[Loan Amount]]</f>
        <v>597.66907199999991</v>
      </c>
      <c r="Y598">
        <v>13</v>
      </c>
      <c r="Z598" s="3">
        <v>660</v>
      </c>
      <c r="AA598" s="3" t="str">
        <f t="shared" si="67"/>
        <v>Fair</v>
      </c>
      <c r="AB598" s="3" cm="1">
        <f t="array" ref="AB598">_xlfn.IFS(fin_table[[#This Row],[Transaction Status]]="Failed", 1, fin_table[[#This Row],[Transaction Status]]="Completed",0,fin_table[[#This Row],[Transaction Status]]="Pending",2)</f>
        <v>2</v>
      </c>
      <c r="AC598" s="3" t="str">
        <f>IF(fin_table[[#This Row],[Loan Defaulters]]=1,"Default", "Good")</f>
        <v>Good</v>
      </c>
      <c r="AD598" s="3">
        <f t="shared" si="68"/>
        <v>2</v>
      </c>
      <c r="AE598" s="4">
        <v>5792.41</v>
      </c>
      <c r="AF598" s="4" t="str">
        <f>IF(fin_table[[#This Row],[Monthly Income]]&lt;3000, "Low Income", IF(fin_table[[#This Row],[Monthly Income]]&lt;=5000, "Middle Income", "High Income"))</f>
        <v>High Income</v>
      </c>
      <c r="AG598" t="s">
        <v>63</v>
      </c>
      <c r="AH598" t="s">
        <v>3635</v>
      </c>
      <c r="AI598" t="str">
        <f t="shared" si="69"/>
        <v>Low-Risk</v>
      </c>
    </row>
    <row r="599" spans="1:35" x14ac:dyDescent="0.35">
      <c r="A599" t="s">
        <v>2253</v>
      </c>
      <c r="B599" t="s">
        <v>2254</v>
      </c>
      <c r="C599" t="s">
        <v>2255</v>
      </c>
      <c r="D599" s="1">
        <v>44608</v>
      </c>
      <c r="E599" s="1" t="str">
        <f t="shared" si="63"/>
        <v>16</v>
      </c>
      <c r="F599" s="1" t="str">
        <f t="shared" si="64"/>
        <v>Feb</v>
      </c>
      <c r="G599" s="6" t="s">
        <v>56</v>
      </c>
      <c r="H599" s="5">
        <v>1899.22</v>
      </c>
      <c r="I599" s="5" t="str">
        <f>IF(fin_table[[#This Row],[Account Balance]]&lt;20000,"Active", "Not Active")</f>
        <v>Active</v>
      </c>
      <c r="J599" s="5">
        <v>18170.25</v>
      </c>
      <c r="K599" s="5" t="str">
        <f t="shared" si="65"/>
        <v>Medium</v>
      </c>
      <c r="L599" s="6" t="s">
        <v>100</v>
      </c>
      <c r="M599">
        <v>47</v>
      </c>
      <c r="N599" s="6" t="str">
        <f t="shared" si="66"/>
        <v>Older Adults</v>
      </c>
      <c r="O599" s="6" t="s">
        <v>25</v>
      </c>
      <c r="P599" s="6" t="s">
        <v>36</v>
      </c>
      <c r="Q599" t="s">
        <v>121</v>
      </c>
      <c r="R599" s="6" t="s">
        <v>38</v>
      </c>
      <c r="S599" s="6" t="s">
        <v>29</v>
      </c>
      <c r="T599" s="14">
        <v>4.9399999999999999E-2</v>
      </c>
      <c r="U599">
        <v>4.9400000000000004</v>
      </c>
      <c r="V599" t="str">
        <f>IF(fin_table[[#This Row],[Interest Rate(%)]]&gt;4,"high","low")</f>
        <v>high</v>
      </c>
      <c r="W599" s="5">
        <v>18885.490000000002</v>
      </c>
      <c r="X599" s="5">
        <f>fin_table[[#This Row],[Interest Rate]]*fin_table[[#This Row],[Loan Amount]]</f>
        <v>932.94320600000003</v>
      </c>
      <c r="Y599">
        <v>13</v>
      </c>
      <c r="Z599" s="3">
        <v>740</v>
      </c>
      <c r="AA599" s="3" t="str">
        <f t="shared" si="67"/>
        <v>Very Good</v>
      </c>
      <c r="AB599" s="3" cm="1">
        <f t="array" ref="AB599">_xlfn.IFS(fin_table[[#This Row],[Transaction Status]]="Failed", 1, fin_table[[#This Row],[Transaction Status]]="Completed",0,fin_table[[#This Row],[Transaction Status]]="Pending",2)</f>
        <v>1</v>
      </c>
      <c r="AC599" s="3" t="str">
        <f>IF(fin_table[[#This Row],[Loan Defaulters]]=1,"Default", "Good")</f>
        <v>Default</v>
      </c>
      <c r="AD599" s="3">
        <f t="shared" si="68"/>
        <v>4</v>
      </c>
      <c r="AE599" s="4">
        <v>4944.04</v>
      </c>
      <c r="AF599" s="4" t="str">
        <f>IF(fin_table[[#This Row],[Monthly Income]]&lt;3000, "Low Income", IF(fin_table[[#This Row],[Monthly Income]]&lt;=5000, "Middle Income", "High Income"))</f>
        <v>Middle Income</v>
      </c>
      <c r="AG599" t="s">
        <v>63</v>
      </c>
      <c r="AH599" t="s">
        <v>3636</v>
      </c>
      <c r="AI599" t="str">
        <f t="shared" si="69"/>
        <v>Low-Risk</v>
      </c>
    </row>
    <row r="600" spans="1:35" x14ac:dyDescent="0.35">
      <c r="A600" t="s">
        <v>2256</v>
      </c>
      <c r="B600" t="s">
        <v>2257</v>
      </c>
      <c r="C600" t="s">
        <v>2258</v>
      </c>
      <c r="D600" s="1">
        <v>44811</v>
      </c>
      <c r="E600" s="1" t="str">
        <f t="shared" si="63"/>
        <v>07</v>
      </c>
      <c r="F600" s="1" t="str">
        <f t="shared" si="64"/>
        <v>Sep</v>
      </c>
      <c r="G600" s="6" t="s">
        <v>23</v>
      </c>
      <c r="H600" s="5">
        <v>4411.53</v>
      </c>
      <c r="I600" s="5" t="str">
        <f>IF(fin_table[[#This Row],[Account Balance]]&lt;20000,"Active", "Not Active")</f>
        <v>Not Active</v>
      </c>
      <c r="J600" s="5">
        <v>45733.62</v>
      </c>
      <c r="K600" s="5" t="str">
        <f t="shared" si="65"/>
        <v>Medium</v>
      </c>
      <c r="L600" s="6" t="s">
        <v>35</v>
      </c>
      <c r="M600">
        <v>38</v>
      </c>
      <c r="N600" s="6" t="str">
        <f t="shared" si="66"/>
        <v>Middle-Aged</v>
      </c>
      <c r="O600" s="6" t="s">
        <v>42</v>
      </c>
      <c r="P600" s="6" t="s">
        <v>36</v>
      </c>
      <c r="Q600" t="s">
        <v>2259</v>
      </c>
      <c r="R600" s="6" t="s">
        <v>28</v>
      </c>
      <c r="S600" s="6" t="s">
        <v>29</v>
      </c>
      <c r="T600" s="14">
        <v>4.3299999999999998E-2</v>
      </c>
      <c r="U600">
        <v>4.33</v>
      </c>
      <c r="V600" t="str">
        <f>IF(fin_table[[#This Row],[Interest Rate(%)]]&gt;4,"high","low")</f>
        <v>high</v>
      </c>
      <c r="W600" s="5">
        <v>26681.654999999999</v>
      </c>
      <c r="X600" s="5">
        <f>fin_table[[#This Row],[Interest Rate]]*fin_table[[#This Row],[Loan Amount]]</f>
        <v>1155.3156614999998</v>
      </c>
      <c r="Y600">
        <v>10</v>
      </c>
      <c r="Z600" s="3">
        <v>330</v>
      </c>
      <c r="AA600" s="3" t="str">
        <f t="shared" si="67"/>
        <v>Poor</v>
      </c>
      <c r="AB600" s="3" cm="1">
        <f t="array" ref="AB600">_xlfn.IFS(fin_table[[#This Row],[Transaction Status]]="Failed", 1, fin_table[[#This Row],[Transaction Status]]="Completed",0,fin_table[[#This Row],[Transaction Status]]="Pending",2)</f>
        <v>1</v>
      </c>
      <c r="AC600" s="3" t="str">
        <f>IF(fin_table[[#This Row],[Loan Defaulters]]=1,"Default", "Good")</f>
        <v>Default</v>
      </c>
      <c r="AD600" s="3">
        <f t="shared" si="68"/>
        <v>1</v>
      </c>
      <c r="AE600" s="4">
        <v>3678.77</v>
      </c>
      <c r="AF600" s="4" t="str">
        <f>IF(fin_table[[#This Row],[Monthly Income]]&lt;3000, "Low Income", IF(fin_table[[#This Row],[Monthly Income]]&lt;=5000, "Middle Income", "High Income"))</f>
        <v>Middle Income</v>
      </c>
      <c r="AG600" t="s">
        <v>30</v>
      </c>
      <c r="AH600" t="s">
        <v>3635</v>
      </c>
      <c r="AI600" t="str">
        <f t="shared" si="69"/>
        <v>Low-Risk</v>
      </c>
    </row>
    <row r="601" spans="1:35" x14ac:dyDescent="0.35">
      <c r="A601" t="s">
        <v>2260</v>
      </c>
      <c r="B601" t="s">
        <v>2261</v>
      </c>
      <c r="C601" t="s">
        <v>2262</v>
      </c>
      <c r="D601" s="1">
        <v>44643</v>
      </c>
      <c r="E601" s="1" t="str">
        <f t="shared" si="63"/>
        <v>23</v>
      </c>
      <c r="F601" s="1" t="str">
        <f t="shared" si="64"/>
        <v>Mar</v>
      </c>
      <c r="G601" s="6" t="s">
        <v>56</v>
      </c>
      <c r="H601" s="5">
        <v>3387.78</v>
      </c>
      <c r="I601" s="5" t="str">
        <f>IF(fin_table[[#This Row],[Account Balance]]&lt;20000,"Active", "Not Active")</f>
        <v>Active</v>
      </c>
      <c r="J601" s="5">
        <v>17648.740000000002</v>
      </c>
      <c r="K601" s="5" t="str">
        <f t="shared" si="65"/>
        <v>Medium</v>
      </c>
      <c r="L601" s="6" t="s">
        <v>49</v>
      </c>
      <c r="M601">
        <v>66</v>
      </c>
      <c r="N601" s="6" t="str">
        <f t="shared" si="66"/>
        <v>Seniors</v>
      </c>
      <c r="O601" s="6" t="s">
        <v>42</v>
      </c>
      <c r="P601" s="6" t="s">
        <v>26</v>
      </c>
      <c r="Q601" t="s">
        <v>902</v>
      </c>
      <c r="R601" s="6" t="s">
        <v>38</v>
      </c>
      <c r="S601" s="6" t="s">
        <v>29</v>
      </c>
      <c r="T601" s="14">
        <v>2.8799999999999999E-2</v>
      </c>
      <c r="U601">
        <v>2.88</v>
      </c>
      <c r="V601" t="str">
        <f>IF(fin_table[[#This Row],[Interest Rate(%)]]&gt;4,"high","low")</f>
        <v>low</v>
      </c>
      <c r="W601" s="5">
        <v>26681.654999999999</v>
      </c>
      <c r="X601" s="5">
        <f>fin_table[[#This Row],[Interest Rate]]*fin_table[[#This Row],[Loan Amount]]</f>
        <v>768.43166399999996</v>
      </c>
      <c r="Y601">
        <v>13</v>
      </c>
      <c r="Z601" s="3">
        <v>621</v>
      </c>
      <c r="AA601" s="3" t="str">
        <f t="shared" si="67"/>
        <v>Fair</v>
      </c>
      <c r="AB601" s="3" cm="1">
        <f t="array" ref="AB601">_xlfn.IFS(fin_table[[#This Row],[Transaction Status]]="Failed", 1, fin_table[[#This Row],[Transaction Status]]="Completed",0,fin_table[[#This Row],[Transaction Status]]="Pending",2)</f>
        <v>1</v>
      </c>
      <c r="AC601" s="3" t="str">
        <f>IF(fin_table[[#This Row],[Loan Defaulters]]=1,"Default", "Good")</f>
        <v>Default</v>
      </c>
      <c r="AD601" s="3">
        <f t="shared" si="68"/>
        <v>2</v>
      </c>
      <c r="AE601" s="4">
        <v>14298.03</v>
      </c>
      <c r="AF601" s="4" t="str">
        <f>IF(fin_table[[#This Row],[Monthly Income]]&lt;3000, "Low Income", IF(fin_table[[#This Row],[Monthly Income]]&lt;=5000, "Middle Income", "High Income"))</f>
        <v>High Income</v>
      </c>
      <c r="AG601" t="s">
        <v>45</v>
      </c>
      <c r="AH601" t="s">
        <v>3635</v>
      </c>
      <c r="AI601" t="str">
        <f t="shared" si="69"/>
        <v>Low-Risk</v>
      </c>
    </row>
    <row r="602" spans="1:35" x14ac:dyDescent="0.35">
      <c r="A602" t="s">
        <v>2263</v>
      </c>
      <c r="B602" t="s">
        <v>2264</v>
      </c>
      <c r="C602" t="s">
        <v>2265</v>
      </c>
      <c r="D602" s="1">
        <v>44924</v>
      </c>
      <c r="E602" s="1" t="str">
        <f t="shared" si="63"/>
        <v>29</v>
      </c>
      <c r="F602" s="1" t="str">
        <f t="shared" si="64"/>
        <v>Dec</v>
      </c>
      <c r="G602" s="6" t="s">
        <v>56</v>
      </c>
      <c r="H602" s="5">
        <v>3483.86</v>
      </c>
      <c r="I602" s="5" t="str">
        <f>IF(fin_table[[#This Row],[Account Balance]]&lt;20000,"Active", "Not Active")</f>
        <v>Not Active</v>
      </c>
      <c r="J602" s="5">
        <v>23325.34</v>
      </c>
      <c r="K602" s="5" t="str">
        <f t="shared" si="65"/>
        <v>Medium</v>
      </c>
      <c r="L602" s="6" t="s">
        <v>100</v>
      </c>
      <c r="M602">
        <v>26</v>
      </c>
      <c r="N602" s="6" t="str">
        <f t="shared" si="66"/>
        <v>Adults</v>
      </c>
      <c r="O602" s="6" t="s">
        <v>25</v>
      </c>
      <c r="P602" s="6" t="s">
        <v>36</v>
      </c>
      <c r="Q602" t="s">
        <v>1411</v>
      </c>
      <c r="R602" s="6" t="s">
        <v>38</v>
      </c>
      <c r="S602" s="6" t="s">
        <v>44</v>
      </c>
      <c r="T602" s="14">
        <v>3.2199999999999999E-2</v>
      </c>
      <c r="U602">
        <v>3.22</v>
      </c>
      <c r="V602" t="str">
        <f>IF(fin_table[[#This Row],[Interest Rate(%)]]&gt;4,"high","low")</f>
        <v>low</v>
      </c>
      <c r="W602" s="5">
        <v>26681.654999999999</v>
      </c>
      <c r="X602" s="5">
        <f>fin_table[[#This Row],[Interest Rate]]*fin_table[[#This Row],[Loan Amount]]</f>
        <v>859.14929099999995</v>
      </c>
      <c r="Y602">
        <v>13</v>
      </c>
      <c r="Z602" s="3">
        <v>643</v>
      </c>
      <c r="AA602" s="3" t="str">
        <f t="shared" si="67"/>
        <v>Fair</v>
      </c>
      <c r="AB602" s="3" cm="1">
        <f t="array" ref="AB602">_xlfn.IFS(fin_table[[#This Row],[Transaction Status]]="Failed", 1, fin_table[[#This Row],[Transaction Status]]="Completed",0,fin_table[[#This Row],[Transaction Status]]="Pending",2)</f>
        <v>0</v>
      </c>
      <c r="AC602" s="3" t="str">
        <f>IF(fin_table[[#This Row],[Loan Defaulters]]=1,"Default", "Good")</f>
        <v>Good</v>
      </c>
      <c r="AD602" s="3">
        <f t="shared" si="68"/>
        <v>2</v>
      </c>
      <c r="AE602" s="4">
        <v>11254.75</v>
      </c>
      <c r="AF602" s="4" t="str">
        <f>IF(fin_table[[#This Row],[Monthly Income]]&lt;3000, "Low Income", IF(fin_table[[#This Row],[Monthly Income]]&lt;=5000, "Middle Income", "High Income"))</f>
        <v>High Income</v>
      </c>
      <c r="AG602" t="s">
        <v>30</v>
      </c>
      <c r="AH602" t="s">
        <v>3635</v>
      </c>
      <c r="AI602" t="str">
        <f t="shared" si="69"/>
        <v>Low-Risk</v>
      </c>
    </row>
    <row r="603" spans="1:35" x14ac:dyDescent="0.35">
      <c r="A603" t="s">
        <v>2266</v>
      </c>
      <c r="B603" t="s">
        <v>2267</v>
      </c>
      <c r="C603" t="s">
        <v>2268</v>
      </c>
      <c r="D603" s="1">
        <v>44683</v>
      </c>
      <c r="E603" s="1" t="str">
        <f t="shared" si="63"/>
        <v>02</v>
      </c>
      <c r="F603" s="1" t="str">
        <f t="shared" si="64"/>
        <v>May</v>
      </c>
      <c r="G603" s="6" t="s">
        <v>56</v>
      </c>
      <c r="H603" s="5">
        <v>7416.36</v>
      </c>
      <c r="I603" s="5" t="str">
        <f>IF(fin_table[[#This Row],[Account Balance]]&lt;20000,"Active", "Not Active")</f>
        <v>Not Active</v>
      </c>
      <c r="J603" s="5">
        <v>34227.58</v>
      </c>
      <c r="K603" s="5" t="str">
        <f t="shared" si="65"/>
        <v>Medium</v>
      </c>
      <c r="L603" s="6" t="s">
        <v>35</v>
      </c>
      <c r="M603">
        <v>34</v>
      </c>
      <c r="N603" s="6" t="str">
        <f t="shared" si="66"/>
        <v>Adults</v>
      </c>
      <c r="O603" s="6" t="s">
        <v>25</v>
      </c>
      <c r="P603" s="6" t="s">
        <v>50</v>
      </c>
      <c r="Q603" t="s">
        <v>2269</v>
      </c>
      <c r="R603" s="6" t="s">
        <v>38</v>
      </c>
      <c r="S603" s="6" t="s">
        <v>29</v>
      </c>
      <c r="T603" s="14">
        <v>4.3700000000000003E-2</v>
      </c>
      <c r="U603">
        <v>4.37</v>
      </c>
      <c r="V603" t="str">
        <f>IF(fin_table[[#This Row],[Interest Rate(%)]]&gt;4,"high","low")</f>
        <v>high</v>
      </c>
      <c r="W603" s="5">
        <v>26681.654999999999</v>
      </c>
      <c r="X603" s="5">
        <f>fin_table[[#This Row],[Interest Rate]]*fin_table[[#This Row],[Loan Amount]]</f>
        <v>1165.9883235</v>
      </c>
      <c r="Y603">
        <v>24</v>
      </c>
      <c r="Z603" s="3">
        <v>835</v>
      </c>
      <c r="AA603" s="3" t="str">
        <f t="shared" si="67"/>
        <v>Excellent</v>
      </c>
      <c r="AB603" s="3" cm="1">
        <f t="array" ref="AB603">_xlfn.IFS(fin_table[[#This Row],[Transaction Status]]="Failed", 1, fin_table[[#This Row],[Transaction Status]]="Completed",0,fin_table[[#This Row],[Transaction Status]]="Pending",2)</f>
        <v>1</v>
      </c>
      <c r="AC603" s="3" t="str">
        <f>IF(fin_table[[#This Row],[Loan Defaulters]]=1,"Default", "Good")</f>
        <v>Default</v>
      </c>
      <c r="AD603" s="3">
        <f t="shared" si="68"/>
        <v>5</v>
      </c>
      <c r="AE603" s="4">
        <v>11641.59</v>
      </c>
      <c r="AF603" s="4" t="str">
        <f>IF(fin_table[[#This Row],[Monthly Income]]&lt;3000, "Low Income", IF(fin_table[[#This Row],[Monthly Income]]&lt;=5000, "Middle Income", "High Income"))</f>
        <v>High Income</v>
      </c>
      <c r="AG603" t="s">
        <v>45</v>
      </c>
      <c r="AH603" t="s">
        <v>3635</v>
      </c>
      <c r="AI603" t="str">
        <f t="shared" si="69"/>
        <v>Low-Risk</v>
      </c>
    </row>
    <row r="604" spans="1:35" x14ac:dyDescent="0.35">
      <c r="A604" t="s">
        <v>2270</v>
      </c>
      <c r="B604" t="s">
        <v>2271</v>
      </c>
      <c r="C604" t="s">
        <v>2272</v>
      </c>
      <c r="D604" s="1">
        <v>44732</v>
      </c>
      <c r="E604" s="1" t="str">
        <f t="shared" si="63"/>
        <v>20</v>
      </c>
      <c r="F604" s="1" t="str">
        <f t="shared" si="64"/>
        <v>Jun</v>
      </c>
      <c r="G604" s="6" t="s">
        <v>34</v>
      </c>
      <c r="H604" s="5">
        <v>2310.31</v>
      </c>
      <c r="I604" s="5" t="str">
        <f>IF(fin_table[[#This Row],[Account Balance]]&lt;20000,"Active", "Not Active")</f>
        <v>Not Active</v>
      </c>
      <c r="J604" s="5">
        <v>27608.05</v>
      </c>
      <c r="K604" s="5" t="str">
        <f t="shared" si="65"/>
        <v>Medium</v>
      </c>
      <c r="L604" s="6" t="s">
        <v>49</v>
      </c>
      <c r="M604">
        <v>22</v>
      </c>
      <c r="N604" s="6" t="str">
        <f t="shared" si="66"/>
        <v>Young Adults</v>
      </c>
      <c r="O604" s="6" t="s">
        <v>42</v>
      </c>
      <c r="P604" s="6" t="s">
        <v>26</v>
      </c>
      <c r="Q604" t="s">
        <v>2273</v>
      </c>
      <c r="R604" s="6" t="s">
        <v>52</v>
      </c>
      <c r="S604" s="6" t="s">
        <v>62</v>
      </c>
      <c r="T604" s="14">
        <v>2.92E-2</v>
      </c>
      <c r="U604">
        <v>2.92</v>
      </c>
      <c r="V604" t="str">
        <f>IF(fin_table[[#This Row],[Interest Rate(%)]]&gt;4,"high","low")</f>
        <v>low</v>
      </c>
      <c r="W604" s="5">
        <v>41499.769999999997</v>
      </c>
      <c r="X604" s="5">
        <f>fin_table[[#This Row],[Interest Rate]]*fin_table[[#This Row],[Loan Amount]]</f>
        <v>1211.7932839999999</v>
      </c>
      <c r="Y604">
        <v>15</v>
      </c>
      <c r="Z604" s="3">
        <v>654</v>
      </c>
      <c r="AA604" s="3" t="str">
        <f t="shared" si="67"/>
        <v>Fair</v>
      </c>
      <c r="AB604" s="3" cm="1">
        <f t="array" ref="AB604">_xlfn.IFS(fin_table[[#This Row],[Transaction Status]]="Failed", 1, fin_table[[#This Row],[Transaction Status]]="Completed",0,fin_table[[#This Row],[Transaction Status]]="Pending",2)</f>
        <v>2</v>
      </c>
      <c r="AC604" s="3" t="str">
        <f>IF(fin_table[[#This Row],[Loan Defaulters]]=1,"Default", "Good")</f>
        <v>Good</v>
      </c>
      <c r="AD604" s="3">
        <f t="shared" si="68"/>
        <v>2</v>
      </c>
      <c r="AE604" s="4">
        <v>8492.26</v>
      </c>
      <c r="AF604" s="4" t="str">
        <f>IF(fin_table[[#This Row],[Monthly Income]]&lt;3000, "Low Income", IF(fin_table[[#This Row],[Monthly Income]]&lt;=5000, "Middle Income", "High Income"))</f>
        <v>High Income</v>
      </c>
      <c r="AG604" t="s">
        <v>30</v>
      </c>
      <c r="AH604" t="s">
        <v>3636</v>
      </c>
      <c r="AI604" t="str">
        <f t="shared" si="69"/>
        <v>Low-Risk</v>
      </c>
    </row>
    <row r="605" spans="1:35" x14ac:dyDescent="0.35">
      <c r="A605" t="s">
        <v>2274</v>
      </c>
      <c r="B605" t="s">
        <v>2275</v>
      </c>
      <c r="C605" t="s">
        <v>2276</v>
      </c>
      <c r="D605" s="1">
        <v>44797</v>
      </c>
      <c r="E605" s="1" t="str">
        <f t="shared" si="63"/>
        <v>24</v>
      </c>
      <c r="F605" s="1" t="str">
        <f t="shared" si="64"/>
        <v>Aug</v>
      </c>
      <c r="G605" s="6" t="s">
        <v>23</v>
      </c>
      <c r="H605" s="5">
        <v>6454.41</v>
      </c>
      <c r="I605" s="5" t="str">
        <f>IF(fin_table[[#This Row],[Account Balance]]&lt;20000,"Active", "Not Active")</f>
        <v>Active</v>
      </c>
      <c r="J605" s="5">
        <v>17997.41</v>
      </c>
      <c r="K605" s="5" t="str">
        <f t="shared" si="65"/>
        <v>Medium</v>
      </c>
      <c r="L605" s="6" t="s">
        <v>24</v>
      </c>
      <c r="M605">
        <v>48</v>
      </c>
      <c r="N605" s="6" t="str">
        <f t="shared" si="66"/>
        <v>Older Adults</v>
      </c>
      <c r="O605" s="6" t="s">
        <v>42</v>
      </c>
      <c r="P605" s="6" t="s">
        <v>26</v>
      </c>
      <c r="Q605" t="s">
        <v>2277</v>
      </c>
      <c r="R605" s="6" t="s">
        <v>52</v>
      </c>
      <c r="S605" s="6" t="s">
        <v>29</v>
      </c>
      <c r="T605" s="14">
        <v>1.8200000000000001E-2</v>
      </c>
      <c r="U605">
        <v>1.82</v>
      </c>
      <c r="V605" t="str">
        <f>IF(fin_table[[#This Row],[Interest Rate(%)]]&gt;4,"high","low")</f>
        <v>low</v>
      </c>
      <c r="W605" s="5">
        <v>26681.654999999999</v>
      </c>
      <c r="X605" s="5">
        <f>fin_table[[#This Row],[Interest Rate]]*fin_table[[#This Row],[Loan Amount]]</f>
        <v>485.60612100000003</v>
      </c>
      <c r="Y605">
        <v>8</v>
      </c>
      <c r="Z605" s="3">
        <v>770</v>
      </c>
      <c r="AA605" s="3" t="str">
        <f t="shared" si="67"/>
        <v>Very Good</v>
      </c>
      <c r="AB605" s="3" cm="1">
        <f t="array" ref="AB605">_xlfn.IFS(fin_table[[#This Row],[Transaction Status]]="Failed", 1, fin_table[[#This Row],[Transaction Status]]="Completed",0,fin_table[[#This Row],[Transaction Status]]="Pending",2)</f>
        <v>1</v>
      </c>
      <c r="AC605" s="3" t="str">
        <f>IF(fin_table[[#This Row],[Loan Defaulters]]=1,"Default", "Good")</f>
        <v>Default</v>
      </c>
      <c r="AD605" s="3">
        <f t="shared" si="68"/>
        <v>4</v>
      </c>
      <c r="AE605" s="4">
        <v>8171.46</v>
      </c>
      <c r="AF605" s="4" t="str">
        <f>IF(fin_table[[#This Row],[Monthly Income]]&lt;3000, "Low Income", IF(fin_table[[#This Row],[Monthly Income]]&lt;=5000, "Middle Income", "High Income"))</f>
        <v>High Income</v>
      </c>
      <c r="AG605" t="s">
        <v>63</v>
      </c>
      <c r="AH605" t="s">
        <v>3635</v>
      </c>
      <c r="AI605" t="str">
        <f t="shared" si="69"/>
        <v>Low-Risk</v>
      </c>
    </row>
    <row r="606" spans="1:35" x14ac:dyDescent="0.35">
      <c r="A606" t="s">
        <v>2278</v>
      </c>
      <c r="B606" t="s">
        <v>2279</v>
      </c>
      <c r="C606" t="s">
        <v>2280</v>
      </c>
      <c r="D606" s="1">
        <v>44913</v>
      </c>
      <c r="E606" s="1" t="str">
        <f t="shared" si="63"/>
        <v>18</v>
      </c>
      <c r="F606" s="1" t="str">
        <f t="shared" si="64"/>
        <v>Dec</v>
      </c>
      <c r="G606" s="6" t="s">
        <v>56</v>
      </c>
      <c r="H606" s="5">
        <v>5749.43</v>
      </c>
      <c r="I606" s="5" t="str">
        <f>IF(fin_table[[#This Row],[Account Balance]]&lt;20000,"Active", "Not Active")</f>
        <v>Not Active</v>
      </c>
      <c r="J606" s="5">
        <v>22346.59</v>
      </c>
      <c r="K606" s="5" t="str">
        <f t="shared" si="65"/>
        <v>Medium</v>
      </c>
      <c r="L606" s="6" t="s">
        <v>49</v>
      </c>
      <c r="M606">
        <v>69</v>
      </c>
      <c r="N606" s="6" t="str">
        <f t="shared" si="66"/>
        <v>Seniors</v>
      </c>
      <c r="O606" s="6" t="s">
        <v>42</v>
      </c>
      <c r="P606" s="6" t="s">
        <v>36</v>
      </c>
      <c r="Q606" t="s">
        <v>1921</v>
      </c>
      <c r="R606" s="6" t="s">
        <v>52</v>
      </c>
      <c r="S606" s="6" t="s">
        <v>29</v>
      </c>
      <c r="T606" s="14">
        <v>4.3099999999999999E-2</v>
      </c>
      <c r="U606">
        <v>4.3099999999999996</v>
      </c>
      <c r="V606" t="str">
        <f>IF(fin_table[[#This Row],[Interest Rate(%)]]&gt;4,"high","low")</f>
        <v>high</v>
      </c>
      <c r="W606" s="5">
        <v>26681.654999999999</v>
      </c>
      <c r="X606" s="5">
        <f>fin_table[[#This Row],[Interest Rate]]*fin_table[[#This Row],[Loan Amount]]</f>
        <v>1149.9793304999998</v>
      </c>
      <c r="Y606">
        <v>13</v>
      </c>
      <c r="Z606" s="3">
        <v>404</v>
      </c>
      <c r="AA606" s="3" t="str">
        <f t="shared" si="67"/>
        <v>Poor</v>
      </c>
      <c r="AB606" s="3" cm="1">
        <f t="array" ref="AB606">_xlfn.IFS(fin_table[[#This Row],[Transaction Status]]="Failed", 1, fin_table[[#This Row],[Transaction Status]]="Completed",0,fin_table[[#This Row],[Transaction Status]]="Pending",2)</f>
        <v>1</v>
      </c>
      <c r="AC606" s="3" t="str">
        <f>IF(fin_table[[#This Row],[Loan Defaulters]]=1,"Default", "Good")</f>
        <v>Default</v>
      </c>
      <c r="AD606" s="3">
        <f t="shared" si="68"/>
        <v>1</v>
      </c>
      <c r="AE606" s="4">
        <v>3430.28</v>
      </c>
      <c r="AF606" s="4" t="str">
        <f>IF(fin_table[[#This Row],[Monthly Income]]&lt;3000, "Low Income", IF(fin_table[[#This Row],[Monthly Income]]&lt;=5000, "Middle Income", "High Income"))</f>
        <v>Middle Income</v>
      </c>
      <c r="AG606" t="s">
        <v>45</v>
      </c>
      <c r="AH606" t="s">
        <v>3635</v>
      </c>
      <c r="AI606" t="str">
        <f t="shared" si="69"/>
        <v>Low-Risk</v>
      </c>
    </row>
    <row r="607" spans="1:35" x14ac:dyDescent="0.35">
      <c r="A607" t="s">
        <v>2281</v>
      </c>
      <c r="B607" t="s">
        <v>2282</v>
      </c>
      <c r="C607" t="s">
        <v>2283</v>
      </c>
      <c r="D607" s="1">
        <v>44810</v>
      </c>
      <c r="E607" s="1" t="str">
        <f t="shared" si="63"/>
        <v>06</v>
      </c>
      <c r="F607" s="1" t="str">
        <f t="shared" si="64"/>
        <v>Sep</v>
      </c>
      <c r="G607" s="6" t="s">
        <v>71</v>
      </c>
      <c r="H607" s="5">
        <v>5724.12</v>
      </c>
      <c r="I607" s="5" t="str">
        <f>IF(fin_table[[#This Row],[Account Balance]]&lt;20000,"Active", "Not Active")</f>
        <v>Not Active</v>
      </c>
      <c r="J607" s="5">
        <v>39929.56</v>
      </c>
      <c r="K607" s="5" t="str">
        <f t="shared" si="65"/>
        <v>Medium</v>
      </c>
      <c r="L607" s="6" t="s">
        <v>125</v>
      </c>
      <c r="M607">
        <v>57</v>
      </c>
      <c r="N607" s="6" t="str">
        <f t="shared" si="66"/>
        <v>Older Adults</v>
      </c>
      <c r="O607" s="6" t="s">
        <v>25</v>
      </c>
      <c r="P607" s="6" t="s">
        <v>26</v>
      </c>
      <c r="Q607" t="s">
        <v>1638</v>
      </c>
      <c r="R607" s="6" t="s">
        <v>28</v>
      </c>
      <c r="S607" s="6" t="s">
        <v>29</v>
      </c>
      <c r="T607" s="14">
        <v>3.15E-2</v>
      </c>
      <c r="U607">
        <v>3.15</v>
      </c>
      <c r="V607" t="str">
        <f>IF(fin_table[[#This Row],[Interest Rate(%)]]&gt;4,"high","low")</f>
        <v>low</v>
      </c>
      <c r="W607" s="5">
        <v>26681.654999999999</v>
      </c>
      <c r="X607" s="5">
        <f>fin_table[[#This Row],[Interest Rate]]*fin_table[[#This Row],[Loan Amount]]</f>
        <v>840.47213249999993</v>
      </c>
      <c r="Y607">
        <v>13</v>
      </c>
      <c r="Z607" s="3">
        <v>621</v>
      </c>
      <c r="AA607" s="3" t="str">
        <f t="shared" si="67"/>
        <v>Fair</v>
      </c>
      <c r="AB607" s="3" cm="1">
        <f t="array" ref="AB607">_xlfn.IFS(fin_table[[#This Row],[Transaction Status]]="Failed", 1, fin_table[[#This Row],[Transaction Status]]="Completed",0,fin_table[[#This Row],[Transaction Status]]="Pending",2)</f>
        <v>1</v>
      </c>
      <c r="AC607" s="3" t="str">
        <f>IF(fin_table[[#This Row],[Loan Defaulters]]=1,"Default", "Good")</f>
        <v>Default</v>
      </c>
      <c r="AD607" s="3">
        <f t="shared" si="68"/>
        <v>2</v>
      </c>
      <c r="AE607" s="4">
        <v>9277.93</v>
      </c>
      <c r="AF607" s="4" t="str">
        <f>IF(fin_table[[#This Row],[Monthly Income]]&lt;3000, "Low Income", IF(fin_table[[#This Row],[Monthly Income]]&lt;=5000, "Middle Income", "High Income"))</f>
        <v>High Income</v>
      </c>
      <c r="AG607" t="s">
        <v>63</v>
      </c>
      <c r="AH607" t="s">
        <v>3635</v>
      </c>
      <c r="AI607" t="str">
        <f t="shared" si="69"/>
        <v>Low-Risk</v>
      </c>
    </row>
    <row r="608" spans="1:35" x14ac:dyDescent="0.35">
      <c r="A608" t="s">
        <v>2284</v>
      </c>
      <c r="B608" t="s">
        <v>2285</v>
      </c>
      <c r="C608" t="s">
        <v>2286</v>
      </c>
      <c r="D608" s="1">
        <v>45016</v>
      </c>
      <c r="E608" s="1" t="str">
        <f t="shared" si="63"/>
        <v>31</v>
      </c>
      <c r="F608" s="1" t="str">
        <f t="shared" si="64"/>
        <v>Mar</v>
      </c>
      <c r="G608" s="6" t="s">
        <v>34</v>
      </c>
      <c r="H608" s="5">
        <v>6663.77</v>
      </c>
      <c r="I608" s="5" t="str">
        <f>IF(fin_table[[#This Row],[Account Balance]]&lt;20000,"Active", "Not Active")</f>
        <v>Active</v>
      </c>
      <c r="J608" s="5">
        <v>14628.33</v>
      </c>
      <c r="K608" s="5" t="str">
        <f t="shared" si="65"/>
        <v>Medium</v>
      </c>
      <c r="L608" s="6" t="s">
        <v>49</v>
      </c>
      <c r="M608">
        <v>55</v>
      </c>
      <c r="N608" s="6" t="str">
        <f t="shared" si="66"/>
        <v>Older Adults</v>
      </c>
      <c r="O608" s="6" t="s">
        <v>42</v>
      </c>
      <c r="P608" s="6" t="s">
        <v>50</v>
      </c>
      <c r="Q608" t="s">
        <v>2287</v>
      </c>
      <c r="R608" s="6" t="s">
        <v>52</v>
      </c>
      <c r="S608" s="6" t="s">
        <v>44</v>
      </c>
      <c r="T608" s="14">
        <v>1.61E-2</v>
      </c>
      <c r="U608">
        <v>1.61</v>
      </c>
      <c r="V608" t="str">
        <f>IF(fin_table[[#This Row],[Interest Rate(%)]]&gt;4,"high","low")</f>
        <v>low</v>
      </c>
      <c r="W608" s="5">
        <v>26681.654999999999</v>
      </c>
      <c r="X608" s="5">
        <f>fin_table[[#This Row],[Interest Rate]]*fin_table[[#This Row],[Loan Amount]]</f>
        <v>429.57464549999997</v>
      </c>
      <c r="Y608">
        <v>18</v>
      </c>
      <c r="Z608" s="3">
        <v>826</v>
      </c>
      <c r="AA608" s="3" t="str">
        <f t="shared" si="67"/>
        <v>Excellent</v>
      </c>
      <c r="AB608" s="3" cm="1">
        <f t="array" ref="AB608">_xlfn.IFS(fin_table[[#This Row],[Transaction Status]]="Failed", 1, fin_table[[#This Row],[Transaction Status]]="Completed",0,fin_table[[#This Row],[Transaction Status]]="Pending",2)</f>
        <v>0</v>
      </c>
      <c r="AC608" s="3" t="str">
        <f>IF(fin_table[[#This Row],[Loan Defaulters]]=1,"Default", "Good")</f>
        <v>Good</v>
      </c>
      <c r="AD608" s="3">
        <f t="shared" si="68"/>
        <v>5</v>
      </c>
      <c r="AE608" s="4">
        <v>5209.91</v>
      </c>
      <c r="AF608" s="4" t="str">
        <f>IF(fin_table[[#This Row],[Monthly Income]]&lt;3000, "Low Income", IF(fin_table[[#This Row],[Monthly Income]]&lt;=5000, "Middle Income", "High Income"))</f>
        <v>High Income</v>
      </c>
      <c r="AG608" t="s">
        <v>45</v>
      </c>
      <c r="AH608" t="s">
        <v>3635</v>
      </c>
      <c r="AI608" t="str">
        <f t="shared" si="69"/>
        <v>Low-Risk</v>
      </c>
    </row>
    <row r="609" spans="1:35" x14ac:dyDescent="0.35">
      <c r="A609" t="s">
        <v>2288</v>
      </c>
      <c r="B609" t="s">
        <v>467</v>
      </c>
      <c r="C609" t="s">
        <v>2289</v>
      </c>
      <c r="D609" s="1">
        <v>45055</v>
      </c>
      <c r="E609" s="1" t="str">
        <f t="shared" si="63"/>
        <v>09</v>
      </c>
      <c r="F609" s="1" t="str">
        <f t="shared" si="64"/>
        <v>May</v>
      </c>
      <c r="G609" s="6" t="s">
        <v>23</v>
      </c>
      <c r="H609" s="5">
        <v>5528.98</v>
      </c>
      <c r="I609" s="5" t="str">
        <f>IF(fin_table[[#This Row],[Account Balance]]&lt;20000,"Active", "Not Active")</f>
        <v>Active</v>
      </c>
      <c r="J609" s="5">
        <v>7970.51</v>
      </c>
      <c r="K609" s="5" t="str">
        <f t="shared" si="65"/>
        <v>Low</v>
      </c>
      <c r="L609" s="6" t="s">
        <v>125</v>
      </c>
      <c r="M609">
        <v>60</v>
      </c>
      <c r="N609" s="6" t="str">
        <f t="shared" si="66"/>
        <v>Older Adults</v>
      </c>
      <c r="O609" s="6" t="s">
        <v>42</v>
      </c>
      <c r="P609" s="6" t="s">
        <v>36</v>
      </c>
      <c r="Q609" t="s">
        <v>473</v>
      </c>
      <c r="R609" s="6" t="s">
        <v>28</v>
      </c>
      <c r="S609" s="6" t="s">
        <v>62</v>
      </c>
      <c r="T609" s="14">
        <v>3.0200000000000001E-2</v>
      </c>
      <c r="U609">
        <v>3.02</v>
      </c>
      <c r="V609" t="str">
        <f>IF(fin_table[[#This Row],[Interest Rate(%)]]&gt;4,"high","low")</f>
        <v>low</v>
      </c>
      <c r="W609" s="5">
        <v>26681.654999999999</v>
      </c>
      <c r="X609" s="5">
        <f>fin_table[[#This Row],[Interest Rate]]*fin_table[[#This Row],[Loan Amount]]</f>
        <v>805.78598099999999</v>
      </c>
      <c r="Y609">
        <v>13</v>
      </c>
      <c r="Z609" s="3">
        <v>803</v>
      </c>
      <c r="AA609" s="3" t="str">
        <f t="shared" si="67"/>
        <v>Excellent</v>
      </c>
      <c r="AB609" s="3" cm="1">
        <f t="array" ref="AB609">_xlfn.IFS(fin_table[[#This Row],[Transaction Status]]="Failed", 1, fin_table[[#This Row],[Transaction Status]]="Completed",0,fin_table[[#This Row],[Transaction Status]]="Pending",2)</f>
        <v>2</v>
      </c>
      <c r="AC609" s="3" t="str">
        <f>IF(fin_table[[#This Row],[Loan Defaulters]]=1,"Default", "Good")</f>
        <v>Good</v>
      </c>
      <c r="AD609" s="3">
        <f t="shared" si="68"/>
        <v>5</v>
      </c>
      <c r="AE609" s="4">
        <v>14702.89</v>
      </c>
      <c r="AF609" s="4" t="str">
        <f>IF(fin_table[[#This Row],[Monthly Income]]&lt;3000, "Low Income", IF(fin_table[[#This Row],[Monthly Income]]&lt;=5000, "Middle Income", "High Income"))</f>
        <v>High Income</v>
      </c>
      <c r="AG609" t="s">
        <v>45</v>
      </c>
      <c r="AH609" t="s">
        <v>3635</v>
      </c>
      <c r="AI609" t="str">
        <f t="shared" si="69"/>
        <v>Low-Risk</v>
      </c>
    </row>
    <row r="610" spans="1:35" x14ac:dyDescent="0.35">
      <c r="A610" t="s">
        <v>2290</v>
      </c>
      <c r="B610" t="s">
        <v>2291</v>
      </c>
      <c r="C610" t="s">
        <v>2292</v>
      </c>
      <c r="D610" s="1">
        <v>45128</v>
      </c>
      <c r="E610" s="1" t="str">
        <f t="shared" si="63"/>
        <v>21</v>
      </c>
      <c r="F610" s="1" t="str">
        <f t="shared" si="64"/>
        <v>Jul</v>
      </c>
      <c r="G610" s="6" t="s">
        <v>56</v>
      </c>
      <c r="H610" s="5">
        <v>8804.6299999999992</v>
      </c>
      <c r="I610" s="5" t="str">
        <f>IF(fin_table[[#This Row],[Account Balance]]&lt;20000,"Active", "Not Active")</f>
        <v>Active</v>
      </c>
      <c r="J610" s="5">
        <v>16345</v>
      </c>
      <c r="K610" s="5" t="str">
        <f t="shared" si="65"/>
        <v>Medium</v>
      </c>
      <c r="L610" s="6" t="s">
        <v>49</v>
      </c>
      <c r="M610">
        <v>36</v>
      </c>
      <c r="N610" s="6" t="str">
        <f t="shared" si="66"/>
        <v>Middle-Aged</v>
      </c>
      <c r="O610" s="6" t="s">
        <v>42</v>
      </c>
      <c r="P610" s="6" t="s">
        <v>36</v>
      </c>
      <c r="Q610" t="s">
        <v>2293</v>
      </c>
      <c r="R610" s="6" t="s">
        <v>52</v>
      </c>
      <c r="S610" s="6" t="s">
        <v>44</v>
      </c>
      <c r="T610" s="14">
        <v>2.6499999999999999E-2</v>
      </c>
      <c r="U610">
        <v>2.65</v>
      </c>
      <c r="V610" t="str">
        <f>IF(fin_table[[#This Row],[Interest Rate(%)]]&gt;4,"high","low")</f>
        <v>low</v>
      </c>
      <c r="W610" s="5">
        <v>10984.94</v>
      </c>
      <c r="X610" s="5">
        <f>fin_table[[#This Row],[Interest Rate]]*fin_table[[#This Row],[Loan Amount]]</f>
        <v>291.10091</v>
      </c>
      <c r="Y610">
        <v>25</v>
      </c>
      <c r="Z610" s="3">
        <v>384</v>
      </c>
      <c r="AA610" s="3" t="str">
        <f t="shared" si="67"/>
        <v>Poor</v>
      </c>
      <c r="AB610" s="3" cm="1">
        <f t="array" ref="AB610">_xlfn.IFS(fin_table[[#This Row],[Transaction Status]]="Failed", 1, fin_table[[#This Row],[Transaction Status]]="Completed",0,fin_table[[#This Row],[Transaction Status]]="Pending",2)</f>
        <v>0</v>
      </c>
      <c r="AC610" s="3" t="str">
        <f>IF(fin_table[[#This Row],[Loan Defaulters]]=1,"Default", "Good")</f>
        <v>Good</v>
      </c>
      <c r="AD610" s="3">
        <f t="shared" si="68"/>
        <v>1</v>
      </c>
      <c r="AE610" s="4">
        <v>12355.55</v>
      </c>
      <c r="AF610" s="4" t="str">
        <f>IF(fin_table[[#This Row],[Monthly Income]]&lt;3000, "Low Income", IF(fin_table[[#This Row],[Monthly Income]]&lt;=5000, "Middle Income", "High Income"))</f>
        <v>High Income</v>
      </c>
      <c r="AG610" t="s">
        <v>63</v>
      </c>
      <c r="AH610" t="s">
        <v>3636</v>
      </c>
      <c r="AI610" t="str">
        <f t="shared" si="69"/>
        <v>Low-Risk</v>
      </c>
    </row>
    <row r="611" spans="1:35" x14ac:dyDescent="0.35">
      <c r="A611" t="s">
        <v>2294</v>
      </c>
      <c r="B611" t="s">
        <v>1590</v>
      </c>
      <c r="C611" t="s">
        <v>2295</v>
      </c>
      <c r="D611" s="1">
        <v>44700</v>
      </c>
      <c r="E611" s="1" t="str">
        <f t="shared" si="63"/>
        <v>19</v>
      </c>
      <c r="F611" s="1" t="str">
        <f t="shared" si="64"/>
        <v>May</v>
      </c>
      <c r="G611" s="6" t="s">
        <v>71</v>
      </c>
      <c r="H611" s="5">
        <v>6788.24</v>
      </c>
      <c r="I611" s="5" t="str">
        <f>IF(fin_table[[#This Row],[Account Balance]]&lt;20000,"Active", "Not Active")</f>
        <v>Not Active</v>
      </c>
      <c r="J611" s="5">
        <v>42627.18</v>
      </c>
      <c r="K611" s="5" t="str">
        <f t="shared" si="65"/>
        <v>Medium</v>
      </c>
      <c r="L611" s="6" t="s">
        <v>125</v>
      </c>
      <c r="M611">
        <v>53</v>
      </c>
      <c r="N611" s="6" t="str">
        <f t="shared" si="66"/>
        <v>Older Adults</v>
      </c>
      <c r="O611" s="6" t="s">
        <v>42</v>
      </c>
      <c r="P611" s="6" t="s">
        <v>26</v>
      </c>
      <c r="Q611" t="s">
        <v>2112</v>
      </c>
      <c r="R611" s="6" t="s">
        <v>38</v>
      </c>
      <c r="S611" s="6" t="s">
        <v>62</v>
      </c>
      <c r="T611" s="14">
        <v>4.5100000000000001E-2</v>
      </c>
      <c r="U611">
        <v>4.51</v>
      </c>
      <c r="V611" t="str">
        <f>IF(fin_table[[#This Row],[Interest Rate(%)]]&gt;4,"high","low")</f>
        <v>high</v>
      </c>
      <c r="W611" s="5">
        <v>26681.654999999999</v>
      </c>
      <c r="X611" s="5">
        <f>fin_table[[#This Row],[Interest Rate]]*fin_table[[#This Row],[Loan Amount]]</f>
        <v>1203.3426405</v>
      </c>
      <c r="Y611">
        <v>17</v>
      </c>
      <c r="Z611" s="3">
        <v>534</v>
      </c>
      <c r="AA611" s="3" t="str">
        <f t="shared" si="67"/>
        <v>Poor</v>
      </c>
      <c r="AB611" s="3" cm="1">
        <f t="array" ref="AB611">_xlfn.IFS(fin_table[[#This Row],[Transaction Status]]="Failed", 1, fin_table[[#This Row],[Transaction Status]]="Completed",0,fin_table[[#This Row],[Transaction Status]]="Pending",2)</f>
        <v>2</v>
      </c>
      <c r="AC611" s="3" t="str">
        <f>IF(fin_table[[#This Row],[Loan Defaulters]]=1,"Default", "Good")</f>
        <v>Good</v>
      </c>
      <c r="AD611" s="3">
        <f t="shared" si="68"/>
        <v>1</v>
      </c>
      <c r="AE611" s="4">
        <v>7368.9</v>
      </c>
      <c r="AF611" s="4" t="str">
        <f>IF(fin_table[[#This Row],[Monthly Income]]&lt;3000, "Low Income", IF(fin_table[[#This Row],[Monthly Income]]&lt;=5000, "Middle Income", "High Income"))</f>
        <v>High Income</v>
      </c>
      <c r="AG611" t="s">
        <v>63</v>
      </c>
      <c r="AH611" t="s">
        <v>3635</v>
      </c>
      <c r="AI611" t="str">
        <f t="shared" si="69"/>
        <v>Low-Risk</v>
      </c>
    </row>
    <row r="612" spans="1:35" x14ac:dyDescent="0.35">
      <c r="A612" t="s">
        <v>2296</v>
      </c>
      <c r="B612" t="s">
        <v>2297</v>
      </c>
      <c r="C612" t="s">
        <v>2298</v>
      </c>
      <c r="D612" s="1">
        <v>45130</v>
      </c>
      <c r="E612" s="1" t="str">
        <f t="shared" si="63"/>
        <v>23</v>
      </c>
      <c r="F612" s="1" t="str">
        <f t="shared" si="64"/>
        <v>Jul</v>
      </c>
      <c r="G612" s="6" t="s">
        <v>23</v>
      </c>
      <c r="H612" s="5">
        <v>5514.94</v>
      </c>
      <c r="I612" s="5" t="str">
        <f>IF(fin_table[[#This Row],[Account Balance]]&lt;20000,"Active", "Not Active")</f>
        <v>Active</v>
      </c>
      <c r="J612" s="5">
        <v>5360.5</v>
      </c>
      <c r="K612" s="5" t="str">
        <f t="shared" si="65"/>
        <v>Low</v>
      </c>
      <c r="L612" s="6" t="s">
        <v>24</v>
      </c>
      <c r="M612">
        <v>67</v>
      </c>
      <c r="N612" s="6" t="str">
        <f t="shared" si="66"/>
        <v>Seniors</v>
      </c>
      <c r="O612" s="6" t="s">
        <v>42</v>
      </c>
      <c r="P612" s="6" t="s">
        <v>26</v>
      </c>
      <c r="Q612" t="s">
        <v>399</v>
      </c>
      <c r="R612" s="6" t="s">
        <v>52</v>
      </c>
      <c r="S612" s="6" t="s">
        <v>44</v>
      </c>
      <c r="T612" s="14">
        <v>1.4999999999999999E-2</v>
      </c>
      <c r="U612">
        <v>1.4999999999999999E-2</v>
      </c>
      <c r="V612" t="str">
        <f>IF(fin_table[[#This Row],[Interest Rate(%)]]&gt;4,"high","low")</f>
        <v>low</v>
      </c>
      <c r="W612" s="5">
        <v>7241.35</v>
      </c>
      <c r="X612" s="5">
        <f>fin_table[[#This Row],[Interest Rate]]*fin_table[[#This Row],[Loan Amount]]</f>
        <v>108.62025</v>
      </c>
      <c r="Y612">
        <v>13</v>
      </c>
      <c r="Z612" s="3">
        <v>562</v>
      </c>
      <c r="AA612" s="3" t="str">
        <f t="shared" si="67"/>
        <v>Poor</v>
      </c>
      <c r="AB612" s="3" cm="1">
        <f t="array" ref="AB612">_xlfn.IFS(fin_table[[#This Row],[Transaction Status]]="Failed", 1, fin_table[[#This Row],[Transaction Status]]="Completed",0,fin_table[[#This Row],[Transaction Status]]="Pending",2)</f>
        <v>0</v>
      </c>
      <c r="AC612" s="3" t="str">
        <f>IF(fin_table[[#This Row],[Loan Defaulters]]=1,"Default", "Good")</f>
        <v>Good</v>
      </c>
      <c r="AD612" s="3">
        <f t="shared" si="68"/>
        <v>1</v>
      </c>
      <c r="AE612" s="4">
        <v>3967.44</v>
      </c>
      <c r="AF612" s="4" t="str">
        <f>IF(fin_table[[#This Row],[Monthly Income]]&lt;3000, "Low Income", IF(fin_table[[#This Row],[Monthly Income]]&lt;=5000, "Middle Income", "High Income"))</f>
        <v>Middle Income</v>
      </c>
      <c r="AG612" t="s">
        <v>63</v>
      </c>
      <c r="AH612" t="s">
        <v>3636</v>
      </c>
      <c r="AI612" t="str">
        <f t="shared" si="69"/>
        <v>Low-Risk</v>
      </c>
    </row>
    <row r="613" spans="1:35" x14ac:dyDescent="0.35">
      <c r="A613" t="s">
        <v>2299</v>
      </c>
      <c r="B613" t="s">
        <v>1836</v>
      </c>
      <c r="C613" t="s">
        <v>2300</v>
      </c>
      <c r="D613" s="1">
        <v>44648</v>
      </c>
      <c r="E613" s="1" t="str">
        <f t="shared" si="63"/>
        <v>28</v>
      </c>
      <c r="F613" s="1" t="str">
        <f t="shared" si="64"/>
        <v>Mar</v>
      </c>
      <c r="G613" s="6" t="s">
        <v>23</v>
      </c>
      <c r="H613" s="5">
        <v>8314.65</v>
      </c>
      <c r="I613" s="5" t="str">
        <f>IF(fin_table[[#This Row],[Account Balance]]&lt;20000,"Active", "Not Active")</f>
        <v>Not Active</v>
      </c>
      <c r="J613" s="5">
        <v>49593.11</v>
      </c>
      <c r="K613" s="5" t="str">
        <f t="shared" si="65"/>
        <v>Medium</v>
      </c>
      <c r="L613" s="6" t="s">
        <v>35</v>
      </c>
      <c r="M613">
        <v>50</v>
      </c>
      <c r="N613" s="6" t="str">
        <f t="shared" si="66"/>
        <v>Older Adults</v>
      </c>
      <c r="O613" s="6" t="s">
        <v>42</v>
      </c>
      <c r="P613" s="6" t="s">
        <v>26</v>
      </c>
      <c r="Q613" t="s">
        <v>2301</v>
      </c>
      <c r="R613" s="6" t="s">
        <v>28</v>
      </c>
      <c r="S613" s="6" t="s">
        <v>62</v>
      </c>
      <c r="T613" s="14">
        <v>4.4999999999999998E-2</v>
      </c>
      <c r="U613">
        <v>4.4999999999999998E-2</v>
      </c>
      <c r="V613" t="str">
        <f>IF(fin_table[[#This Row],[Interest Rate(%)]]&gt;4,"high","low")</f>
        <v>low</v>
      </c>
      <c r="W613" s="5">
        <v>16865.400000000001</v>
      </c>
      <c r="X613" s="5">
        <f>fin_table[[#This Row],[Interest Rate]]*fin_table[[#This Row],[Loan Amount]]</f>
        <v>758.94299999999998</v>
      </c>
      <c r="Y613">
        <v>24</v>
      </c>
      <c r="Z613" s="3">
        <v>305</v>
      </c>
      <c r="AA613" s="3" t="str">
        <f t="shared" si="67"/>
        <v>Poor</v>
      </c>
      <c r="AB613" s="3" cm="1">
        <f t="array" ref="AB613">_xlfn.IFS(fin_table[[#This Row],[Transaction Status]]="Failed", 1, fin_table[[#This Row],[Transaction Status]]="Completed",0,fin_table[[#This Row],[Transaction Status]]="Pending",2)</f>
        <v>2</v>
      </c>
      <c r="AC613" s="3" t="str">
        <f>IF(fin_table[[#This Row],[Loan Defaulters]]=1,"Default", "Good")</f>
        <v>Good</v>
      </c>
      <c r="AD613" s="3">
        <f t="shared" si="68"/>
        <v>1</v>
      </c>
      <c r="AE613" s="4">
        <v>12209.31</v>
      </c>
      <c r="AF613" s="4" t="str">
        <f>IF(fin_table[[#This Row],[Monthly Income]]&lt;3000, "Low Income", IF(fin_table[[#This Row],[Monthly Income]]&lt;=5000, "Middle Income", "High Income"))</f>
        <v>High Income</v>
      </c>
      <c r="AG613" t="s">
        <v>30</v>
      </c>
      <c r="AH613" t="s">
        <v>3636</v>
      </c>
      <c r="AI613" t="str">
        <f t="shared" si="69"/>
        <v>Low-Risk</v>
      </c>
    </row>
    <row r="614" spans="1:35" x14ac:dyDescent="0.35">
      <c r="A614" t="s">
        <v>2302</v>
      </c>
      <c r="B614" t="s">
        <v>1963</v>
      </c>
      <c r="C614" t="s">
        <v>2303</v>
      </c>
      <c r="D614" s="1">
        <v>44782</v>
      </c>
      <c r="E614" s="1" t="str">
        <f t="shared" si="63"/>
        <v>09</v>
      </c>
      <c r="F614" s="1" t="str">
        <f t="shared" si="64"/>
        <v>Aug</v>
      </c>
      <c r="G614" s="6" t="s">
        <v>34</v>
      </c>
      <c r="H614" s="5">
        <v>6100.85</v>
      </c>
      <c r="I614" s="5" t="str">
        <f>IF(fin_table[[#This Row],[Account Balance]]&lt;20000,"Active", "Not Active")</f>
        <v>Not Active</v>
      </c>
      <c r="J614" s="5">
        <v>27509.14</v>
      </c>
      <c r="K614" s="5" t="str">
        <f t="shared" si="65"/>
        <v>Medium</v>
      </c>
      <c r="L614" s="6" t="s">
        <v>125</v>
      </c>
      <c r="M614">
        <v>30</v>
      </c>
      <c r="N614" s="6" t="str">
        <f t="shared" si="66"/>
        <v>Adults</v>
      </c>
      <c r="O614" s="6" t="s">
        <v>25</v>
      </c>
      <c r="P614" s="6" t="s">
        <v>36</v>
      </c>
      <c r="Q614" t="s">
        <v>1871</v>
      </c>
      <c r="R614" s="6" t="s">
        <v>28</v>
      </c>
      <c r="S614" s="6" t="s">
        <v>44</v>
      </c>
      <c r="T614" s="14">
        <v>3.0499999999999999E-2</v>
      </c>
      <c r="U614">
        <v>3.05</v>
      </c>
      <c r="V614" t="str">
        <f>IF(fin_table[[#This Row],[Interest Rate(%)]]&gt;4,"high","low")</f>
        <v>low</v>
      </c>
      <c r="W614" s="5">
        <v>26681.654999999999</v>
      </c>
      <c r="X614" s="5">
        <f>fin_table[[#This Row],[Interest Rate]]*fin_table[[#This Row],[Loan Amount]]</f>
        <v>813.79047749999995</v>
      </c>
      <c r="Y614">
        <v>7</v>
      </c>
      <c r="Z614" s="3">
        <v>793</v>
      </c>
      <c r="AA614" s="3" t="str">
        <f t="shared" si="67"/>
        <v>Very Good</v>
      </c>
      <c r="AB614" s="3" cm="1">
        <f t="array" ref="AB614">_xlfn.IFS(fin_table[[#This Row],[Transaction Status]]="Failed", 1, fin_table[[#This Row],[Transaction Status]]="Completed",0,fin_table[[#This Row],[Transaction Status]]="Pending",2)</f>
        <v>0</v>
      </c>
      <c r="AC614" s="3" t="str">
        <f>IF(fin_table[[#This Row],[Loan Defaulters]]=1,"Default", "Good")</f>
        <v>Good</v>
      </c>
      <c r="AD614" s="3">
        <f t="shared" si="68"/>
        <v>4</v>
      </c>
      <c r="AE614" s="4">
        <v>3586.7</v>
      </c>
      <c r="AF614" s="4" t="str">
        <f>IF(fin_table[[#This Row],[Monthly Income]]&lt;3000, "Low Income", IF(fin_table[[#This Row],[Monthly Income]]&lt;=5000, "Middle Income", "High Income"))</f>
        <v>Middle Income</v>
      </c>
      <c r="AG614" t="s">
        <v>45</v>
      </c>
      <c r="AH614" t="s">
        <v>3635</v>
      </c>
      <c r="AI614" t="str">
        <f t="shared" si="69"/>
        <v>Low-Risk</v>
      </c>
    </row>
    <row r="615" spans="1:35" x14ac:dyDescent="0.35">
      <c r="A615" t="s">
        <v>2304</v>
      </c>
      <c r="B615" t="s">
        <v>2305</v>
      </c>
      <c r="C615" t="s">
        <v>2306</v>
      </c>
      <c r="D615" s="1">
        <v>45060</v>
      </c>
      <c r="E615" s="1" t="str">
        <f t="shared" si="63"/>
        <v>14</v>
      </c>
      <c r="F615" s="1" t="str">
        <f t="shared" si="64"/>
        <v>May</v>
      </c>
      <c r="G615" s="6" t="s">
        <v>23</v>
      </c>
      <c r="H615" s="5">
        <v>2982.33</v>
      </c>
      <c r="I615" s="5" t="str">
        <f>IF(fin_table[[#This Row],[Account Balance]]&lt;20000,"Active", "Not Active")</f>
        <v>Not Active</v>
      </c>
      <c r="J615" s="5">
        <v>49257.440000000002</v>
      </c>
      <c r="K615" s="5" t="str">
        <f t="shared" si="65"/>
        <v>Medium</v>
      </c>
      <c r="L615" s="6" t="s">
        <v>125</v>
      </c>
      <c r="M615">
        <v>31</v>
      </c>
      <c r="N615" s="6" t="str">
        <f t="shared" si="66"/>
        <v>Adults</v>
      </c>
      <c r="O615" s="6" t="s">
        <v>25</v>
      </c>
      <c r="P615" s="6" t="s">
        <v>26</v>
      </c>
      <c r="Q615" t="s">
        <v>363</v>
      </c>
      <c r="R615" s="6" t="s">
        <v>52</v>
      </c>
      <c r="S615" s="6" t="s">
        <v>29</v>
      </c>
      <c r="T615" s="14">
        <v>2.6200000000000001E-2</v>
      </c>
      <c r="U615">
        <v>2.62</v>
      </c>
      <c r="V615" t="str">
        <f>IF(fin_table[[#This Row],[Interest Rate(%)]]&gt;4,"high","low")</f>
        <v>low</v>
      </c>
      <c r="W615" s="5">
        <v>26681.654999999999</v>
      </c>
      <c r="X615" s="5">
        <f>fin_table[[#This Row],[Interest Rate]]*fin_table[[#This Row],[Loan Amount]]</f>
        <v>699.05936099999997</v>
      </c>
      <c r="Y615">
        <v>13</v>
      </c>
      <c r="Z615" s="3">
        <v>588</v>
      </c>
      <c r="AA615" s="3" t="str">
        <f t="shared" si="67"/>
        <v>Fair</v>
      </c>
      <c r="AB615" s="3" cm="1">
        <f t="array" ref="AB615">_xlfn.IFS(fin_table[[#This Row],[Transaction Status]]="Failed", 1, fin_table[[#This Row],[Transaction Status]]="Completed",0,fin_table[[#This Row],[Transaction Status]]="Pending",2)</f>
        <v>1</v>
      </c>
      <c r="AC615" s="3" t="str">
        <f>IF(fin_table[[#This Row],[Loan Defaulters]]=1,"Default", "Good")</f>
        <v>Default</v>
      </c>
      <c r="AD615" s="3">
        <f t="shared" si="68"/>
        <v>2</v>
      </c>
      <c r="AE615" s="4">
        <v>4461.34</v>
      </c>
      <c r="AF615" s="4" t="str">
        <f>IF(fin_table[[#This Row],[Monthly Income]]&lt;3000, "Low Income", IF(fin_table[[#This Row],[Monthly Income]]&lt;=5000, "Middle Income", "High Income"))</f>
        <v>Middle Income</v>
      </c>
      <c r="AG615" t="s">
        <v>45</v>
      </c>
      <c r="AH615" t="s">
        <v>3635</v>
      </c>
      <c r="AI615" t="str">
        <f t="shared" si="69"/>
        <v>Low-Risk</v>
      </c>
    </row>
    <row r="616" spans="1:35" x14ac:dyDescent="0.35">
      <c r="A616" t="s">
        <v>2307</v>
      </c>
      <c r="B616" t="s">
        <v>2308</v>
      </c>
      <c r="C616" t="s">
        <v>2309</v>
      </c>
      <c r="D616" s="1">
        <v>44702</v>
      </c>
      <c r="E616" s="1" t="str">
        <f t="shared" si="63"/>
        <v>21</v>
      </c>
      <c r="F616" s="1" t="str">
        <f t="shared" si="64"/>
        <v>May</v>
      </c>
      <c r="G616" s="6" t="s">
        <v>34</v>
      </c>
      <c r="H616" s="5">
        <v>2150.2399999999998</v>
      </c>
      <c r="I616" s="5" t="str">
        <f>IF(fin_table[[#This Row],[Account Balance]]&lt;20000,"Active", "Not Active")</f>
        <v>Not Active</v>
      </c>
      <c r="J616" s="5">
        <v>47010.82</v>
      </c>
      <c r="K616" s="5" t="str">
        <f t="shared" si="65"/>
        <v>Medium</v>
      </c>
      <c r="L616" s="6" t="s">
        <v>24</v>
      </c>
      <c r="M616">
        <v>50</v>
      </c>
      <c r="N616" s="6" t="str">
        <f t="shared" si="66"/>
        <v>Older Adults</v>
      </c>
      <c r="O616" s="6" t="s">
        <v>42</v>
      </c>
      <c r="P616" s="6" t="s">
        <v>50</v>
      </c>
      <c r="Q616" t="s">
        <v>2310</v>
      </c>
      <c r="R616" s="6" t="s">
        <v>38</v>
      </c>
      <c r="S616" s="6" t="s">
        <v>44</v>
      </c>
      <c r="T616" s="14">
        <v>1.6500000000000001E-2</v>
      </c>
      <c r="U616">
        <v>1.65</v>
      </c>
      <c r="V616" t="str">
        <f>IF(fin_table[[#This Row],[Interest Rate(%)]]&gt;4,"high","low")</f>
        <v>low</v>
      </c>
      <c r="W616" s="5">
        <v>42474.879999999997</v>
      </c>
      <c r="X616" s="5">
        <f>fin_table[[#This Row],[Interest Rate]]*fin_table[[#This Row],[Loan Amount]]</f>
        <v>700.83551999999997</v>
      </c>
      <c r="Y616">
        <v>27</v>
      </c>
      <c r="Z616" s="3">
        <v>649</v>
      </c>
      <c r="AA616" s="3" t="str">
        <f t="shared" si="67"/>
        <v>Fair</v>
      </c>
      <c r="AB616" s="3" cm="1">
        <f t="array" ref="AB616">_xlfn.IFS(fin_table[[#This Row],[Transaction Status]]="Failed", 1, fin_table[[#This Row],[Transaction Status]]="Completed",0,fin_table[[#This Row],[Transaction Status]]="Pending",2)</f>
        <v>0</v>
      </c>
      <c r="AC616" s="3" t="str">
        <f>IF(fin_table[[#This Row],[Loan Defaulters]]=1,"Default", "Good")</f>
        <v>Good</v>
      </c>
      <c r="AD616" s="3">
        <f t="shared" si="68"/>
        <v>2</v>
      </c>
      <c r="AE616" s="4">
        <v>4749.7700000000004</v>
      </c>
      <c r="AF616" s="4" t="str">
        <f>IF(fin_table[[#This Row],[Monthly Income]]&lt;3000, "Low Income", IF(fin_table[[#This Row],[Monthly Income]]&lt;=5000, "Middle Income", "High Income"))</f>
        <v>Middle Income</v>
      </c>
      <c r="AG616" t="s">
        <v>45</v>
      </c>
      <c r="AH616" t="s">
        <v>3636</v>
      </c>
      <c r="AI616" t="str">
        <f t="shared" si="69"/>
        <v>Low-Risk</v>
      </c>
    </row>
    <row r="617" spans="1:35" x14ac:dyDescent="0.35">
      <c r="A617" t="s">
        <v>2311</v>
      </c>
      <c r="B617" t="s">
        <v>2312</v>
      </c>
      <c r="C617" t="s">
        <v>2313</v>
      </c>
      <c r="D617" s="1">
        <v>44880</v>
      </c>
      <c r="E617" s="1" t="str">
        <f t="shared" si="63"/>
        <v>15</v>
      </c>
      <c r="F617" s="1" t="str">
        <f t="shared" si="64"/>
        <v>Nov</v>
      </c>
      <c r="G617" s="6" t="s">
        <v>56</v>
      </c>
      <c r="H617" s="5">
        <v>1608.05</v>
      </c>
      <c r="I617" s="5" t="str">
        <f>IF(fin_table[[#This Row],[Account Balance]]&lt;20000,"Active", "Not Active")</f>
        <v>Not Active</v>
      </c>
      <c r="J617" s="5">
        <v>23187.87</v>
      </c>
      <c r="K617" s="5" t="str">
        <f t="shared" si="65"/>
        <v>Medium</v>
      </c>
      <c r="L617" s="6" t="s">
        <v>125</v>
      </c>
      <c r="M617">
        <v>46</v>
      </c>
      <c r="N617" s="6" t="str">
        <f t="shared" si="66"/>
        <v>Older Adults</v>
      </c>
      <c r="O617" s="6" t="s">
        <v>42</v>
      </c>
      <c r="P617" s="6" t="s">
        <v>26</v>
      </c>
      <c r="Q617" t="s">
        <v>367</v>
      </c>
      <c r="R617" s="6" t="s">
        <v>52</v>
      </c>
      <c r="S617" s="6" t="s">
        <v>44</v>
      </c>
      <c r="T617" s="14">
        <v>3.7999999999999999E-2</v>
      </c>
      <c r="U617">
        <v>3.7999999999999999E-2</v>
      </c>
      <c r="V617" t="str">
        <f>IF(fin_table[[#This Row],[Interest Rate(%)]]&gt;4,"high","low")</f>
        <v>low</v>
      </c>
      <c r="W617" s="5">
        <v>19684.41</v>
      </c>
      <c r="X617" s="5">
        <f>fin_table[[#This Row],[Interest Rate]]*fin_table[[#This Row],[Loan Amount]]</f>
        <v>748.00757999999996</v>
      </c>
      <c r="Y617">
        <v>16</v>
      </c>
      <c r="Z617" s="3">
        <v>499</v>
      </c>
      <c r="AA617" s="3" t="str">
        <f t="shared" si="67"/>
        <v>Poor</v>
      </c>
      <c r="AB617" s="3" cm="1">
        <f t="array" ref="AB617">_xlfn.IFS(fin_table[[#This Row],[Transaction Status]]="Failed", 1, fin_table[[#This Row],[Transaction Status]]="Completed",0,fin_table[[#This Row],[Transaction Status]]="Pending",2)</f>
        <v>0</v>
      </c>
      <c r="AC617" s="3" t="str">
        <f>IF(fin_table[[#This Row],[Loan Defaulters]]=1,"Default", "Good")</f>
        <v>Good</v>
      </c>
      <c r="AD617" s="3">
        <f t="shared" si="68"/>
        <v>1</v>
      </c>
      <c r="AE617" s="4">
        <v>9239.58</v>
      </c>
      <c r="AF617" s="4" t="str">
        <f>IF(fin_table[[#This Row],[Monthly Income]]&lt;3000, "Low Income", IF(fin_table[[#This Row],[Monthly Income]]&lt;=5000, "Middle Income", "High Income"))</f>
        <v>High Income</v>
      </c>
      <c r="AG617" t="s">
        <v>63</v>
      </c>
      <c r="AH617" t="s">
        <v>3636</v>
      </c>
      <c r="AI617" t="str">
        <f t="shared" si="69"/>
        <v>Low-Risk</v>
      </c>
    </row>
    <row r="618" spans="1:35" x14ac:dyDescent="0.35">
      <c r="A618" t="s">
        <v>2314</v>
      </c>
      <c r="B618" t="s">
        <v>2315</v>
      </c>
      <c r="C618" t="s">
        <v>2316</v>
      </c>
      <c r="D618" s="1">
        <v>44939</v>
      </c>
      <c r="E618" s="1" t="str">
        <f t="shared" si="63"/>
        <v>13</v>
      </c>
      <c r="F618" s="1" t="str">
        <f t="shared" si="64"/>
        <v>Jan</v>
      </c>
      <c r="G618" s="6" t="s">
        <v>34</v>
      </c>
      <c r="H618" s="5">
        <v>9004.61</v>
      </c>
      <c r="I618" s="5" t="str">
        <f>IF(fin_table[[#This Row],[Account Balance]]&lt;20000,"Active", "Not Active")</f>
        <v>Active</v>
      </c>
      <c r="J618" s="5">
        <v>10726.06</v>
      </c>
      <c r="K618" s="5" t="str">
        <f t="shared" si="65"/>
        <v>Medium</v>
      </c>
      <c r="L618" s="6" t="s">
        <v>100</v>
      </c>
      <c r="M618">
        <v>60</v>
      </c>
      <c r="N618" s="6" t="str">
        <f t="shared" si="66"/>
        <v>Older Adults</v>
      </c>
      <c r="O618" s="6" t="s">
        <v>25</v>
      </c>
      <c r="P618" s="6" t="s">
        <v>26</v>
      </c>
      <c r="Q618" t="s">
        <v>2031</v>
      </c>
      <c r="R618" s="6" t="s">
        <v>52</v>
      </c>
      <c r="S618" s="6" t="s">
        <v>29</v>
      </c>
      <c r="T618" s="14">
        <v>4.7100000000000003E-2</v>
      </c>
      <c r="U618">
        <v>4.71</v>
      </c>
      <c r="V618" t="str">
        <f>IF(fin_table[[#This Row],[Interest Rate(%)]]&gt;4,"high","low")</f>
        <v>high</v>
      </c>
      <c r="W618" s="5">
        <v>37752.54</v>
      </c>
      <c r="X618" s="5">
        <f>fin_table[[#This Row],[Interest Rate]]*fin_table[[#This Row],[Loan Amount]]</f>
        <v>1778.1446340000002</v>
      </c>
      <c r="Y618">
        <v>13</v>
      </c>
      <c r="Z618" s="3">
        <v>634</v>
      </c>
      <c r="AA618" s="3" t="str">
        <f t="shared" si="67"/>
        <v>Fair</v>
      </c>
      <c r="AB618" s="3" cm="1">
        <f t="array" ref="AB618">_xlfn.IFS(fin_table[[#This Row],[Transaction Status]]="Failed", 1, fin_table[[#This Row],[Transaction Status]]="Completed",0,fin_table[[#This Row],[Transaction Status]]="Pending",2)</f>
        <v>1</v>
      </c>
      <c r="AC618" s="3" t="str">
        <f>IF(fin_table[[#This Row],[Loan Defaulters]]=1,"Default", "Good")</f>
        <v>Default</v>
      </c>
      <c r="AD618" s="3">
        <f t="shared" si="68"/>
        <v>2</v>
      </c>
      <c r="AE618" s="4">
        <v>12231.74</v>
      </c>
      <c r="AF618" s="4" t="str">
        <f>IF(fin_table[[#This Row],[Monthly Income]]&lt;3000, "Low Income", IF(fin_table[[#This Row],[Monthly Income]]&lt;=5000, "Middle Income", "High Income"))</f>
        <v>High Income</v>
      </c>
      <c r="AG618" t="s">
        <v>45</v>
      </c>
      <c r="AH618" t="s">
        <v>3636</v>
      </c>
      <c r="AI618" t="str">
        <f t="shared" si="69"/>
        <v>Low-Risk</v>
      </c>
    </row>
    <row r="619" spans="1:35" x14ac:dyDescent="0.35">
      <c r="A619" t="s">
        <v>2317</v>
      </c>
      <c r="B619" t="s">
        <v>2318</v>
      </c>
      <c r="C619" t="s">
        <v>2319</v>
      </c>
      <c r="D619" s="1">
        <v>45047</v>
      </c>
      <c r="E619" s="1" t="str">
        <f t="shared" si="63"/>
        <v>01</v>
      </c>
      <c r="F619" s="1" t="str">
        <f t="shared" si="64"/>
        <v>May</v>
      </c>
      <c r="G619" s="6" t="s">
        <v>71</v>
      </c>
      <c r="H619" s="5">
        <v>7130.34</v>
      </c>
      <c r="I619" s="5" t="str">
        <f>IF(fin_table[[#This Row],[Account Balance]]&lt;20000,"Active", "Not Active")</f>
        <v>Active</v>
      </c>
      <c r="J619" s="5">
        <v>9079.35</v>
      </c>
      <c r="K619" s="5" t="str">
        <f t="shared" si="65"/>
        <v>Low</v>
      </c>
      <c r="L619" s="6" t="s">
        <v>24</v>
      </c>
      <c r="M619">
        <v>66</v>
      </c>
      <c r="N619" s="6" t="str">
        <f t="shared" si="66"/>
        <v>Seniors</v>
      </c>
      <c r="O619" s="6" t="s">
        <v>25</v>
      </c>
      <c r="P619" s="6" t="s">
        <v>36</v>
      </c>
      <c r="Q619" t="s">
        <v>933</v>
      </c>
      <c r="R619" s="6" t="s">
        <v>52</v>
      </c>
      <c r="S619" s="6" t="s">
        <v>29</v>
      </c>
      <c r="T619" s="14">
        <v>2.5000000000000001E-2</v>
      </c>
      <c r="U619">
        <v>2.5000000000000001E-2</v>
      </c>
      <c r="V619" t="str">
        <f>IF(fin_table[[#This Row],[Interest Rate(%)]]&gt;4,"high","low")</f>
        <v>low</v>
      </c>
      <c r="W619" s="5">
        <v>26681.654999999999</v>
      </c>
      <c r="X619" s="5">
        <f>fin_table[[#This Row],[Interest Rate]]*fin_table[[#This Row],[Loan Amount]]</f>
        <v>667.04137500000002</v>
      </c>
      <c r="Y619">
        <v>4</v>
      </c>
      <c r="Z619" s="3">
        <v>516</v>
      </c>
      <c r="AA619" s="3" t="str">
        <f t="shared" si="67"/>
        <v>Poor</v>
      </c>
      <c r="AB619" s="3" cm="1">
        <f t="array" ref="AB619">_xlfn.IFS(fin_table[[#This Row],[Transaction Status]]="Failed", 1, fin_table[[#This Row],[Transaction Status]]="Completed",0,fin_table[[#This Row],[Transaction Status]]="Pending",2)</f>
        <v>1</v>
      </c>
      <c r="AC619" s="3" t="str">
        <f>IF(fin_table[[#This Row],[Loan Defaulters]]=1,"Default", "Good")</f>
        <v>Default</v>
      </c>
      <c r="AD619" s="3">
        <f t="shared" si="68"/>
        <v>1</v>
      </c>
      <c r="AE619" s="4">
        <v>6086.09</v>
      </c>
      <c r="AF619" s="4" t="str">
        <f>IF(fin_table[[#This Row],[Monthly Income]]&lt;3000, "Low Income", IF(fin_table[[#This Row],[Monthly Income]]&lt;=5000, "Middle Income", "High Income"))</f>
        <v>High Income</v>
      </c>
      <c r="AG619" t="s">
        <v>45</v>
      </c>
      <c r="AH619" t="s">
        <v>3635</v>
      </c>
      <c r="AI619" t="str">
        <f t="shared" si="69"/>
        <v>Low-Risk</v>
      </c>
    </row>
    <row r="620" spans="1:35" x14ac:dyDescent="0.35">
      <c r="A620" t="s">
        <v>2320</v>
      </c>
      <c r="B620" t="s">
        <v>2321</v>
      </c>
      <c r="C620" t="s">
        <v>2322</v>
      </c>
      <c r="D620" s="1">
        <v>44967</v>
      </c>
      <c r="E620" s="1" t="str">
        <f t="shared" si="63"/>
        <v>10</v>
      </c>
      <c r="F620" s="1" t="str">
        <f t="shared" si="64"/>
        <v>Feb</v>
      </c>
      <c r="G620" s="6" t="s">
        <v>34</v>
      </c>
      <c r="H620" s="5">
        <v>9380.0499999999993</v>
      </c>
      <c r="I620" s="5" t="str">
        <f>IF(fin_table[[#This Row],[Account Balance]]&lt;20000,"Active", "Not Active")</f>
        <v>Active</v>
      </c>
      <c r="J620" s="5">
        <v>12759.48</v>
      </c>
      <c r="K620" s="5" t="str">
        <f t="shared" si="65"/>
        <v>Medium</v>
      </c>
      <c r="L620" s="6" t="s">
        <v>100</v>
      </c>
      <c r="M620">
        <v>53</v>
      </c>
      <c r="N620" s="6" t="str">
        <f t="shared" si="66"/>
        <v>Older Adults</v>
      </c>
      <c r="O620" s="6" t="s">
        <v>25</v>
      </c>
      <c r="P620" s="6" t="s">
        <v>26</v>
      </c>
      <c r="Q620" t="s">
        <v>2080</v>
      </c>
      <c r="R620" s="6" t="s">
        <v>38</v>
      </c>
      <c r="S620" s="6" t="s">
        <v>62</v>
      </c>
      <c r="T620" s="14">
        <v>1.9699999999999999E-2</v>
      </c>
      <c r="U620">
        <v>1.97</v>
      </c>
      <c r="V620" t="str">
        <f>IF(fin_table[[#This Row],[Interest Rate(%)]]&gt;4,"high","low")</f>
        <v>low</v>
      </c>
      <c r="W620" s="5">
        <v>34671.879999999997</v>
      </c>
      <c r="X620" s="5">
        <f>fin_table[[#This Row],[Interest Rate]]*fin_table[[#This Row],[Loan Amount]]</f>
        <v>683.03603599999985</v>
      </c>
      <c r="Y620">
        <v>26</v>
      </c>
      <c r="Z620" s="3">
        <v>652</v>
      </c>
      <c r="AA620" s="3" t="str">
        <f t="shared" si="67"/>
        <v>Fair</v>
      </c>
      <c r="AB620" s="3" cm="1">
        <f t="array" ref="AB620">_xlfn.IFS(fin_table[[#This Row],[Transaction Status]]="Failed", 1, fin_table[[#This Row],[Transaction Status]]="Completed",0,fin_table[[#This Row],[Transaction Status]]="Pending",2)</f>
        <v>2</v>
      </c>
      <c r="AC620" s="3" t="str">
        <f>IF(fin_table[[#This Row],[Loan Defaulters]]=1,"Default", "Good")</f>
        <v>Good</v>
      </c>
      <c r="AD620" s="3">
        <f t="shared" si="68"/>
        <v>2</v>
      </c>
      <c r="AE620" s="4">
        <v>3100.71</v>
      </c>
      <c r="AF620" s="4" t="str">
        <f>IF(fin_table[[#This Row],[Monthly Income]]&lt;3000, "Low Income", IF(fin_table[[#This Row],[Monthly Income]]&lt;=5000, "Middle Income", "High Income"))</f>
        <v>Middle Income</v>
      </c>
      <c r="AG620" t="s">
        <v>63</v>
      </c>
      <c r="AH620" t="s">
        <v>3636</v>
      </c>
      <c r="AI620" t="str">
        <f t="shared" si="69"/>
        <v>Low-Risk</v>
      </c>
    </row>
    <row r="621" spans="1:35" x14ac:dyDescent="0.35">
      <c r="A621" t="s">
        <v>2323</v>
      </c>
      <c r="B621" t="s">
        <v>2324</v>
      </c>
      <c r="C621" t="s">
        <v>2325</v>
      </c>
      <c r="D621" s="1">
        <v>44805</v>
      </c>
      <c r="E621" s="1" t="str">
        <f t="shared" si="63"/>
        <v>01</v>
      </c>
      <c r="F621" s="1" t="str">
        <f t="shared" si="64"/>
        <v>Sep</v>
      </c>
      <c r="G621" s="6" t="s">
        <v>71</v>
      </c>
      <c r="H621" s="5">
        <v>6072.59</v>
      </c>
      <c r="I621" s="5" t="str">
        <f>IF(fin_table[[#This Row],[Account Balance]]&lt;20000,"Active", "Not Active")</f>
        <v>Not Active</v>
      </c>
      <c r="J621" s="5">
        <v>35796.5</v>
      </c>
      <c r="K621" s="5" t="str">
        <f t="shared" si="65"/>
        <v>Medium</v>
      </c>
      <c r="L621" s="6" t="s">
        <v>24</v>
      </c>
      <c r="M621">
        <v>61</v>
      </c>
      <c r="N621" s="6" t="str">
        <f t="shared" si="66"/>
        <v>Seniors</v>
      </c>
      <c r="O621" s="6" t="s">
        <v>42</v>
      </c>
      <c r="P621" s="6" t="s">
        <v>36</v>
      </c>
      <c r="Q621" t="s">
        <v>1407</v>
      </c>
      <c r="R621" s="6" t="s">
        <v>28</v>
      </c>
      <c r="S621" s="6" t="s">
        <v>62</v>
      </c>
      <c r="T621" s="14">
        <v>3.2199999999999999E-2</v>
      </c>
      <c r="U621">
        <v>3.22</v>
      </c>
      <c r="V621" t="str">
        <f>IF(fin_table[[#This Row],[Interest Rate(%)]]&gt;4,"high","low")</f>
        <v>low</v>
      </c>
      <c r="W621" s="5">
        <v>19253.62</v>
      </c>
      <c r="X621" s="5">
        <f>fin_table[[#This Row],[Interest Rate]]*fin_table[[#This Row],[Loan Amount]]</f>
        <v>619.96656399999995</v>
      </c>
      <c r="Y621">
        <v>13</v>
      </c>
      <c r="Z621" s="3">
        <v>624</v>
      </c>
      <c r="AA621" s="3" t="str">
        <f t="shared" si="67"/>
        <v>Fair</v>
      </c>
      <c r="AB621" s="3" cm="1">
        <f t="array" ref="AB621">_xlfn.IFS(fin_table[[#This Row],[Transaction Status]]="Failed", 1, fin_table[[#This Row],[Transaction Status]]="Completed",0,fin_table[[#This Row],[Transaction Status]]="Pending",2)</f>
        <v>2</v>
      </c>
      <c r="AC621" s="3" t="str">
        <f>IF(fin_table[[#This Row],[Loan Defaulters]]=1,"Default", "Good")</f>
        <v>Good</v>
      </c>
      <c r="AD621" s="3">
        <f t="shared" si="68"/>
        <v>2</v>
      </c>
      <c r="AE621" s="4">
        <v>8039</v>
      </c>
      <c r="AF621" s="4" t="str">
        <f>IF(fin_table[[#This Row],[Monthly Income]]&lt;3000, "Low Income", IF(fin_table[[#This Row],[Monthly Income]]&lt;=5000, "Middle Income", "High Income"))</f>
        <v>High Income</v>
      </c>
      <c r="AG621" t="s">
        <v>63</v>
      </c>
      <c r="AH621" t="s">
        <v>3636</v>
      </c>
      <c r="AI621" t="str">
        <f t="shared" si="69"/>
        <v>Low-Risk</v>
      </c>
    </row>
    <row r="622" spans="1:35" x14ac:dyDescent="0.35">
      <c r="A622" t="s">
        <v>2326</v>
      </c>
      <c r="B622" t="s">
        <v>2327</v>
      </c>
      <c r="C622" t="s">
        <v>2328</v>
      </c>
      <c r="D622" s="1">
        <v>45056</v>
      </c>
      <c r="E622" s="1" t="str">
        <f t="shared" si="63"/>
        <v>10</v>
      </c>
      <c r="F622" s="1" t="str">
        <f t="shared" si="64"/>
        <v>May</v>
      </c>
      <c r="G622" s="6" t="s">
        <v>34</v>
      </c>
      <c r="H622" s="5">
        <v>4786.67</v>
      </c>
      <c r="I622" s="5" t="str">
        <f>IF(fin_table[[#This Row],[Account Balance]]&lt;20000,"Active", "Not Active")</f>
        <v>Active</v>
      </c>
      <c r="J622" s="5">
        <v>14374.55</v>
      </c>
      <c r="K622" s="5" t="str">
        <f t="shared" si="65"/>
        <v>Medium</v>
      </c>
      <c r="L622" s="6" t="s">
        <v>125</v>
      </c>
      <c r="M622">
        <v>27</v>
      </c>
      <c r="N622" s="6" t="str">
        <f t="shared" si="66"/>
        <v>Adults</v>
      </c>
      <c r="O622" s="6" t="s">
        <v>42</v>
      </c>
      <c r="P622" s="6" t="s">
        <v>26</v>
      </c>
      <c r="Q622" t="s">
        <v>2329</v>
      </c>
      <c r="R622" s="6" t="s">
        <v>38</v>
      </c>
      <c r="S622" s="6" t="s">
        <v>62</v>
      </c>
      <c r="T622" s="14">
        <v>4.1799999999999997E-2</v>
      </c>
      <c r="U622">
        <v>4.18</v>
      </c>
      <c r="V622" t="str">
        <f>IF(fin_table[[#This Row],[Interest Rate(%)]]&gt;4,"high","low")</f>
        <v>high</v>
      </c>
      <c r="W622" s="5">
        <v>26681.654999999999</v>
      </c>
      <c r="X622" s="5">
        <f>fin_table[[#This Row],[Interest Rate]]*fin_table[[#This Row],[Loan Amount]]</f>
        <v>1115.2931789999998</v>
      </c>
      <c r="Y622">
        <v>13</v>
      </c>
      <c r="Z622" s="3">
        <v>527</v>
      </c>
      <c r="AA622" s="3" t="str">
        <f t="shared" si="67"/>
        <v>Poor</v>
      </c>
      <c r="AB622" s="3" cm="1">
        <f t="array" ref="AB622">_xlfn.IFS(fin_table[[#This Row],[Transaction Status]]="Failed", 1, fin_table[[#This Row],[Transaction Status]]="Completed",0,fin_table[[#This Row],[Transaction Status]]="Pending",2)</f>
        <v>2</v>
      </c>
      <c r="AC622" s="3" t="str">
        <f>IF(fin_table[[#This Row],[Loan Defaulters]]=1,"Default", "Good")</f>
        <v>Good</v>
      </c>
      <c r="AD622" s="3">
        <f t="shared" si="68"/>
        <v>1</v>
      </c>
      <c r="AE622" s="4">
        <v>11725.43</v>
      </c>
      <c r="AF622" s="4" t="str">
        <f>IF(fin_table[[#This Row],[Monthly Income]]&lt;3000, "Low Income", IF(fin_table[[#This Row],[Monthly Income]]&lt;=5000, "Middle Income", "High Income"))</f>
        <v>High Income</v>
      </c>
      <c r="AG622" t="s">
        <v>45</v>
      </c>
      <c r="AH622" t="s">
        <v>3635</v>
      </c>
      <c r="AI622" t="str">
        <f t="shared" si="69"/>
        <v>Low-Risk</v>
      </c>
    </row>
    <row r="623" spans="1:35" x14ac:dyDescent="0.35">
      <c r="A623" t="s">
        <v>2330</v>
      </c>
      <c r="B623" t="s">
        <v>1854</v>
      </c>
      <c r="C623" t="s">
        <v>2331</v>
      </c>
      <c r="D623" s="1">
        <v>44916</v>
      </c>
      <c r="E623" s="1" t="str">
        <f t="shared" si="63"/>
        <v>21</v>
      </c>
      <c r="F623" s="1" t="str">
        <f t="shared" si="64"/>
        <v>Dec</v>
      </c>
      <c r="G623" s="6" t="s">
        <v>23</v>
      </c>
      <c r="H623" s="5">
        <v>691.19</v>
      </c>
      <c r="I623" s="5" t="str">
        <f>IF(fin_table[[#This Row],[Account Balance]]&lt;20000,"Active", "Not Active")</f>
        <v>Active</v>
      </c>
      <c r="J623" s="5">
        <v>17729.84</v>
      </c>
      <c r="K623" s="5" t="str">
        <f t="shared" si="65"/>
        <v>Medium</v>
      </c>
      <c r="L623" s="6" t="s">
        <v>100</v>
      </c>
      <c r="M623">
        <v>48</v>
      </c>
      <c r="N623" s="6" t="str">
        <f t="shared" si="66"/>
        <v>Older Adults</v>
      </c>
      <c r="O623" s="6" t="s">
        <v>42</v>
      </c>
      <c r="P623" s="6" t="s">
        <v>50</v>
      </c>
      <c r="Q623" t="s">
        <v>1782</v>
      </c>
      <c r="R623" s="6" t="s">
        <v>28</v>
      </c>
      <c r="S623" s="6" t="s">
        <v>44</v>
      </c>
      <c r="T623" s="14">
        <v>1.0200000000000001E-2</v>
      </c>
      <c r="U623">
        <v>1.02</v>
      </c>
      <c r="V623" t="str">
        <f>IF(fin_table[[#This Row],[Interest Rate(%)]]&gt;4,"high","low")</f>
        <v>low</v>
      </c>
      <c r="W623" s="5">
        <v>11131.34</v>
      </c>
      <c r="X623" s="5">
        <f>fin_table[[#This Row],[Interest Rate]]*fin_table[[#This Row],[Loan Amount]]</f>
        <v>113.53966800000001</v>
      </c>
      <c r="Y623">
        <v>13</v>
      </c>
      <c r="Z623" s="3">
        <v>444</v>
      </c>
      <c r="AA623" s="3" t="str">
        <f t="shared" si="67"/>
        <v>Poor</v>
      </c>
      <c r="AB623" s="3" cm="1">
        <f t="array" ref="AB623">_xlfn.IFS(fin_table[[#This Row],[Transaction Status]]="Failed", 1, fin_table[[#This Row],[Transaction Status]]="Completed",0,fin_table[[#This Row],[Transaction Status]]="Pending",2)</f>
        <v>0</v>
      </c>
      <c r="AC623" s="3" t="str">
        <f>IF(fin_table[[#This Row],[Loan Defaulters]]=1,"Default", "Good")</f>
        <v>Good</v>
      </c>
      <c r="AD623" s="3">
        <f t="shared" si="68"/>
        <v>1</v>
      </c>
      <c r="AE623" s="4">
        <v>4881.63</v>
      </c>
      <c r="AF623" s="4" t="str">
        <f>IF(fin_table[[#This Row],[Monthly Income]]&lt;3000, "Low Income", IF(fin_table[[#This Row],[Monthly Income]]&lt;=5000, "Middle Income", "High Income"))</f>
        <v>Middle Income</v>
      </c>
      <c r="AG623" t="s">
        <v>30</v>
      </c>
      <c r="AH623" t="s">
        <v>3636</v>
      </c>
      <c r="AI623" t="str">
        <f t="shared" si="69"/>
        <v>Low-Risk</v>
      </c>
    </row>
    <row r="624" spans="1:35" x14ac:dyDescent="0.35">
      <c r="A624" t="s">
        <v>2332</v>
      </c>
      <c r="B624" t="s">
        <v>2333</v>
      </c>
      <c r="C624" t="s">
        <v>2334</v>
      </c>
      <c r="D624" s="1">
        <v>44915</v>
      </c>
      <c r="E624" s="1" t="str">
        <f t="shared" si="63"/>
        <v>20</v>
      </c>
      <c r="F624" s="1" t="str">
        <f t="shared" si="64"/>
        <v>Dec</v>
      </c>
      <c r="G624" s="6" t="s">
        <v>56</v>
      </c>
      <c r="H624" s="5">
        <v>6749.26</v>
      </c>
      <c r="I624" s="5" t="str">
        <f>IF(fin_table[[#This Row],[Account Balance]]&lt;20000,"Active", "Not Active")</f>
        <v>Not Active</v>
      </c>
      <c r="J624" s="5">
        <v>22990.16</v>
      </c>
      <c r="K624" s="5" t="str">
        <f t="shared" si="65"/>
        <v>Medium</v>
      </c>
      <c r="L624" s="6" t="s">
        <v>125</v>
      </c>
      <c r="M624">
        <v>23</v>
      </c>
      <c r="N624" s="6" t="str">
        <f t="shared" si="66"/>
        <v>Young Adults</v>
      </c>
      <c r="O624" s="6" t="s">
        <v>42</v>
      </c>
      <c r="P624" s="6" t="s">
        <v>50</v>
      </c>
      <c r="Q624" t="s">
        <v>2335</v>
      </c>
      <c r="R624" s="6" t="s">
        <v>28</v>
      </c>
      <c r="S624" s="6" t="s">
        <v>62</v>
      </c>
      <c r="T624" s="14">
        <v>3.5299999999999998E-2</v>
      </c>
      <c r="U624">
        <v>3.53</v>
      </c>
      <c r="V624" t="str">
        <f>IF(fin_table[[#This Row],[Interest Rate(%)]]&gt;4,"high","low")</f>
        <v>low</v>
      </c>
      <c r="W624" s="5">
        <v>26681.654999999999</v>
      </c>
      <c r="X624" s="5">
        <f>fin_table[[#This Row],[Interest Rate]]*fin_table[[#This Row],[Loan Amount]]</f>
        <v>941.86242149999987</v>
      </c>
      <c r="Y624">
        <v>14</v>
      </c>
      <c r="Z624" s="3">
        <v>607</v>
      </c>
      <c r="AA624" s="3" t="str">
        <f t="shared" si="67"/>
        <v>Fair</v>
      </c>
      <c r="AB624" s="3" cm="1">
        <f t="array" ref="AB624">_xlfn.IFS(fin_table[[#This Row],[Transaction Status]]="Failed", 1, fin_table[[#This Row],[Transaction Status]]="Completed",0,fin_table[[#This Row],[Transaction Status]]="Pending",2)</f>
        <v>2</v>
      </c>
      <c r="AC624" s="3" t="str">
        <f>IF(fin_table[[#This Row],[Loan Defaulters]]=1,"Default", "Good")</f>
        <v>Good</v>
      </c>
      <c r="AD624" s="3">
        <f t="shared" si="68"/>
        <v>2</v>
      </c>
      <c r="AE624" s="4">
        <v>4859.0200000000004</v>
      </c>
      <c r="AF624" s="4" t="str">
        <f>IF(fin_table[[#This Row],[Monthly Income]]&lt;3000, "Low Income", IF(fin_table[[#This Row],[Monthly Income]]&lt;=5000, "Middle Income", "High Income"))</f>
        <v>Middle Income</v>
      </c>
      <c r="AG624" t="s">
        <v>63</v>
      </c>
      <c r="AH624" t="s">
        <v>3635</v>
      </c>
      <c r="AI624" t="str">
        <f t="shared" si="69"/>
        <v>Low-Risk</v>
      </c>
    </row>
    <row r="625" spans="1:35" x14ac:dyDescent="0.35">
      <c r="A625" t="s">
        <v>2336</v>
      </c>
      <c r="B625" t="s">
        <v>2337</v>
      </c>
      <c r="C625" t="s">
        <v>2338</v>
      </c>
      <c r="D625" s="1">
        <v>44566</v>
      </c>
      <c r="E625" s="1" t="str">
        <f t="shared" si="63"/>
        <v>05</v>
      </c>
      <c r="F625" s="1" t="str">
        <f t="shared" si="64"/>
        <v>Jan</v>
      </c>
      <c r="G625" s="6" t="s">
        <v>71</v>
      </c>
      <c r="H625" s="5">
        <v>5863.87</v>
      </c>
      <c r="I625" s="5" t="str">
        <f>IF(fin_table[[#This Row],[Account Balance]]&lt;20000,"Active", "Not Active")</f>
        <v>Not Active</v>
      </c>
      <c r="J625" s="5">
        <v>45748.4</v>
      </c>
      <c r="K625" s="5" t="str">
        <f t="shared" si="65"/>
        <v>Medium</v>
      </c>
      <c r="L625" s="6" t="s">
        <v>24</v>
      </c>
      <c r="M625">
        <v>18</v>
      </c>
      <c r="N625" s="6" t="str">
        <f t="shared" si="66"/>
        <v>Young Adults</v>
      </c>
      <c r="O625" s="6" t="s">
        <v>25</v>
      </c>
      <c r="P625" s="6" t="s">
        <v>36</v>
      </c>
      <c r="Q625" t="s">
        <v>1154</v>
      </c>
      <c r="R625" s="6" t="s">
        <v>28</v>
      </c>
      <c r="S625" s="6" t="s">
        <v>44</v>
      </c>
      <c r="T625" s="14">
        <v>3.39E-2</v>
      </c>
      <c r="U625">
        <v>3.39</v>
      </c>
      <c r="V625" t="str">
        <f>IF(fin_table[[#This Row],[Interest Rate(%)]]&gt;4,"high","low")</f>
        <v>low</v>
      </c>
      <c r="W625" s="5">
        <v>15915.97</v>
      </c>
      <c r="X625" s="5">
        <f>fin_table[[#This Row],[Interest Rate]]*fin_table[[#This Row],[Loan Amount]]</f>
        <v>539.55138299999999</v>
      </c>
      <c r="Y625">
        <v>13</v>
      </c>
      <c r="Z625" s="3">
        <v>584</v>
      </c>
      <c r="AA625" s="3" t="str">
        <f t="shared" si="67"/>
        <v>Fair</v>
      </c>
      <c r="AB625" s="3" cm="1">
        <f t="array" ref="AB625">_xlfn.IFS(fin_table[[#This Row],[Transaction Status]]="Failed", 1, fin_table[[#This Row],[Transaction Status]]="Completed",0,fin_table[[#This Row],[Transaction Status]]="Pending",2)</f>
        <v>0</v>
      </c>
      <c r="AC625" s="3" t="str">
        <f>IF(fin_table[[#This Row],[Loan Defaulters]]=1,"Default", "Good")</f>
        <v>Good</v>
      </c>
      <c r="AD625" s="3">
        <f t="shared" si="68"/>
        <v>2</v>
      </c>
      <c r="AE625" s="4">
        <v>14313.95</v>
      </c>
      <c r="AF625" s="4" t="str">
        <f>IF(fin_table[[#This Row],[Monthly Income]]&lt;3000, "Low Income", IF(fin_table[[#This Row],[Monthly Income]]&lt;=5000, "Middle Income", "High Income"))</f>
        <v>High Income</v>
      </c>
      <c r="AG625" t="s">
        <v>30</v>
      </c>
      <c r="AH625" t="s">
        <v>3636</v>
      </c>
      <c r="AI625" t="str">
        <f t="shared" si="69"/>
        <v>Low-Risk</v>
      </c>
    </row>
    <row r="626" spans="1:35" x14ac:dyDescent="0.35">
      <c r="A626" t="s">
        <v>2339</v>
      </c>
      <c r="B626" t="s">
        <v>2340</v>
      </c>
      <c r="C626" t="s">
        <v>2341</v>
      </c>
      <c r="D626" s="1">
        <v>45109</v>
      </c>
      <c r="E626" s="1" t="str">
        <f t="shared" si="63"/>
        <v>02</v>
      </c>
      <c r="F626" s="1" t="str">
        <f t="shared" si="64"/>
        <v>Jul</v>
      </c>
      <c r="G626" s="6" t="s">
        <v>34</v>
      </c>
      <c r="H626" s="5">
        <v>9903.07</v>
      </c>
      <c r="I626" s="5" t="str">
        <f>IF(fin_table[[#This Row],[Account Balance]]&lt;20000,"Active", "Not Active")</f>
        <v>Active</v>
      </c>
      <c r="J626" s="5">
        <v>10280.280000000001</v>
      </c>
      <c r="K626" s="5" t="str">
        <f t="shared" si="65"/>
        <v>Medium</v>
      </c>
      <c r="L626" s="6" t="s">
        <v>125</v>
      </c>
      <c r="M626">
        <v>24</v>
      </c>
      <c r="N626" s="6" t="str">
        <f t="shared" si="66"/>
        <v>Young Adults</v>
      </c>
      <c r="O626" s="6" t="s">
        <v>25</v>
      </c>
      <c r="P626" s="6" t="s">
        <v>36</v>
      </c>
      <c r="Q626" t="s">
        <v>1746</v>
      </c>
      <c r="R626" s="6" t="s">
        <v>38</v>
      </c>
      <c r="S626" s="6" t="s">
        <v>44</v>
      </c>
      <c r="T626" s="14">
        <v>2.2700000000000001E-2</v>
      </c>
      <c r="U626">
        <v>2.27</v>
      </c>
      <c r="V626" t="str">
        <f>IF(fin_table[[#This Row],[Interest Rate(%)]]&gt;4,"high","low")</f>
        <v>low</v>
      </c>
      <c r="W626" s="5">
        <v>26681.654999999999</v>
      </c>
      <c r="X626" s="5">
        <f>fin_table[[#This Row],[Interest Rate]]*fin_table[[#This Row],[Loan Amount]]</f>
        <v>605.67356849999999</v>
      </c>
      <c r="Y626">
        <v>22</v>
      </c>
      <c r="Z626" s="3">
        <v>691</v>
      </c>
      <c r="AA626" s="3" t="str">
        <f t="shared" si="67"/>
        <v>Good</v>
      </c>
      <c r="AB626" s="3" cm="1">
        <f t="array" ref="AB626">_xlfn.IFS(fin_table[[#This Row],[Transaction Status]]="Failed", 1, fin_table[[#This Row],[Transaction Status]]="Completed",0,fin_table[[#This Row],[Transaction Status]]="Pending",2)</f>
        <v>0</v>
      </c>
      <c r="AC626" s="3" t="str">
        <f>IF(fin_table[[#This Row],[Loan Defaulters]]=1,"Default", "Good")</f>
        <v>Good</v>
      </c>
      <c r="AD626" s="3">
        <f t="shared" si="68"/>
        <v>3</v>
      </c>
      <c r="AE626" s="4">
        <v>14404</v>
      </c>
      <c r="AF626" s="4" t="str">
        <f>IF(fin_table[[#This Row],[Monthly Income]]&lt;3000, "Low Income", IF(fin_table[[#This Row],[Monthly Income]]&lt;=5000, "Middle Income", "High Income"))</f>
        <v>High Income</v>
      </c>
      <c r="AG626" t="s">
        <v>30</v>
      </c>
      <c r="AH626" t="s">
        <v>3635</v>
      </c>
      <c r="AI626" t="str">
        <f t="shared" si="69"/>
        <v>Low-Risk</v>
      </c>
    </row>
    <row r="627" spans="1:35" x14ac:dyDescent="0.35">
      <c r="A627" t="s">
        <v>2342</v>
      </c>
      <c r="B627" t="s">
        <v>2343</v>
      </c>
      <c r="C627" t="s">
        <v>2344</v>
      </c>
      <c r="D627" s="1">
        <v>44996</v>
      </c>
      <c r="E627" s="1" t="str">
        <f t="shared" si="63"/>
        <v>11</v>
      </c>
      <c r="F627" s="1" t="str">
        <f t="shared" si="64"/>
        <v>Mar</v>
      </c>
      <c r="G627" s="6" t="s">
        <v>34</v>
      </c>
      <c r="H627" s="5">
        <v>2467.67</v>
      </c>
      <c r="I627" s="5" t="str">
        <f>IF(fin_table[[#This Row],[Account Balance]]&lt;20000,"Active", "Not Active")</f>
        <v>Active</v>
      </c>
      <c r="J627" s="5">
        <v>1246.3</v>
      </c>
      <c r="K627" s="5" t="str">
        <f t="shared" si="65"/>
        <v>Low</v>
      </c>
      <c r="L627" s="6" t="s">
        <v>100</v>
      </c>
      <c r="M627">
        <v>44</v>
      </c>
      <c r="N627" s="6" t="str">
        <f t="shared" si="66"/>
        <v>Middle-Aged</v>
      </c>
      <c r="O627" s="6" t="s">
        <v>25</v>
      </c>
      <c r="P627" s="6" t="s">
        <v>26</v>
      </c>
      <c r="Q627" t="s">
        <v>2345</v>
      </c>
      <c r="R627" s="6" t="s">
        <v>52</v>
      </c>
      <c r="S627" s="6" t="s">
        <v>62</v>
      </c>
      <c r="T627" s="14">
        <v>2.81E-2</v>
      </c>
      <c r="U627">
        <v>2.81</v>
      </c>
      <c r="V627" t="str">
        <f>IF(fin_table[[#This Row],[Interest Rate(%)]]&gt;4,"high","low")</f>
        <v>low</v>
      </c>
      <c r="W627" s="5">
        <v>47758.13</v>
      </c>
      <c r="X627" s="5">
        <f>fin_table[[#This Row],[Interest Rate]]*fin_table[[#This Row],[Loan Amount]]</f>
        <v>1342.003453</v>
      </c>
      <c r="Y627">
        <v>13</v>
      </c>
      <c r="Z627" s="3">
        <v>659</v>
      </c>
      <c r="AA627" s="3" t="str">
        <f t="shared" si="67"/>
        <v>Fair</v>
      </c>
      <c r="AB627" s="3" cm="1">
        <f t="array" ref="AB627">_xlfn.IFS(fin_table[[#This Row],[Transaction Status]]="Failed", 1, fin_table[[#This Row],[Transaction Status]]="Completed",0,fin_table[[#This Row],[Transaction Status]]="Pending",2)</f>
        <v>2</v>
      </c>
      <c r="AC627" s="3" t="str">
        <f>IF(fin_table[[#This Row],[Loan Defaulters]]=1,"Default", "Good")</f>
        <v>Good</v>
      </c>
      <c r="AD627" s="3">
        <f t="shared" si="68"/>
        <v>2</v>
      </c>
      <c r="AE627" s="4">
        <v>14876.05</v>
      </c>
      <c r="AF627" s="4" t="str">
        <f>IF(fin_table[[#This Row],[Monthly Income]]&lt;3000, "Low Income", IF(fin_table[[#This Row],[Monthly Income]]&lt;=5000, "Middle Income", "High Income"))</f>
        <v>High Income</v>
      </c>
      <c r="AG627" t="s">
        <v>30</v>
      </c>
      <c r="AH627" t="s">
        <v>3636</v>
      </c>
      <c r="AI627" t="str">
        <f t="shared" si="69"/>
        <v>Low-Risk</v>
      </c>
    </row>
    <row r="628" spans="1:35" x14ac:dyDescent="0.35">
      <c r="A628" t="s">
        <v>2346</v>
      </c>
      <c r="B628" t="s">
        <v>2347</v>
      </c>
      <c r="C628" t="s">
        <v>2348</v>
      </c>
      <c r="D628" s="1">
        <v>44819</v>
      </c>
      <c r="E628" s="1" t="str">
        <f t="shared" si="63"/>
        <v>15</v>
      </c>
      <c r="F628" s="1" t="str">
        <f t="shared" si="64"/>
        <v>Sep</v>
      </c>
      <c r="G628" s="6" t="s">
        <v>34</v>
      </c>
      <c r="H628" s="5">
        <v>5354.3</v>
      </c>
      <c r="I628" s="5" t="str">
        <f>IF(fin_table[[#This Row],[Account Balance]]&lt;20000,"Active", "Not Active")</f>
        <v>Active</v>
      </c>
      <c r="J628" s="5">
        <v>3944.72</v>
      </c>
      <c r="K628" s="5" t="str">
        <f t="shared" si="65"/>
        <v>Low</v>
      </c>
      <c r="L628" s="6" t="s">
        <v>100</v>
      </c>
      <c r="M628">
        <v>38</v>
      </c>
      <c r="N628" s="6" t="str">
        <f t="shared" si="66"/>
        <v>Middle-Aged</v>
      </c>
      <c r="O628" s="6" t="s">
        <v>25</v>
      </c>
      <c r="P628" s="6" t="s">
        <v>26</v>
      </c>
      <c r="Q628" t="s">
        <v>473</v>
      </c>
      <c r="R628" s="6" t="s">
        <v>52</v>
      </c>
      <c r="S628" s="6" t="s">
        <v>62</v>
      </c>
      <c r="T628" s="14">
        <v>1.9900000000000001E-2</v>
      </c>
      <c r="U628">
        <v>1.99</v>
      </c>
      <c r="V628" t="str">
        <f>IF(fin_table[[#This Row],[Interest Rate(%)]]&gt;4,"high","low")</f>
        <v>low</v>
      </c>
      <c r="W628" s="5">
        <v>26681.654999999999</v>
      </c>
      <c r="X628" s="5">
        <f>fin_table[[#This Row],[Interest Rate]]*fin_table[[#This Row],[Loan Amount]]</f>
        <v>530.96493450000003</v>
      </c>
      <c r="Y628">
        <v>27</v>
      </c>
      <c r="Z628" s="3">
        <v>464</v>
      </c>
      <c r="AA628" s="3" t="str">
        <f t="shared" si="67"/>
        <v>Poor</v>
      </c>
      <c r="AB628" s="3" cm="1">
        <f t="array" ref="AB628">_xlfn.IFS(fin_table[[#This Row],[Transaction Status]]="Failed", 1, fin_table[[#This Row],[Transaction Status]]="Completed",0,fin_table[[#This Row],[Transaction Status]]="Pending",2)</f>
        <v>2</v>
      </c>
      <c r="AC628" s="3" t="str">
        <f>IF(fin_table[[#This Row],[Loan Defaulters]]=1,"Default", "Good")</f>
        <v>Good</v>
      </c>
      <c r="AD628" s="3">
        <f t="shared" si="68"/>
        <v>1</v>
      </c>
      <c r="AE628" s="4">
        <v>12499.57</v>
      </c>
      <c r="AF628" s="4" t="str">
        <f>IF(fin_table[[#This Row],[Monthly Income]]&lt;3000, "Low Income", IF(fin_table[[#This Row],[Monthly Income]]&lt;=5000, "Middle Income", "High Income"))</f>
        <v>High Income</v>
      </c>
      <c r="AG628" t="s">
        <v>30</v>
      </c>
      <c r="AH628" t="s">
        <v>3635</v>
      </c>
      <c r="AI628" t="str">
        <f t="shared" si="69"/>
        <v>Low-Risk</v>
      </c>
    </row>
    <row r="629" spans="1:35" x14ac:dyDescent="0.35">
      <c r="A629" t="s">
        <v>2349</v>
      </c>
      <c r="B629" t="s">
        <v>2350</v>
      </c>
      <c r="C629" t="s">
        <v>2351</v>
      </c>
      <c r="D629" s="1">
        <v>44585</v>
      </c>
      <c r="E629" s="1" t="str">
        <f t="shared" si="63"/>
        <v>24</v>
      </c>
      <c r="F629" s="1" t="str">
        <f t="shared" si="64"/>
        <v>Jan</v>
      </c>
      <c r="G629" s="6" t="s">
        <v>23</v>
      </c>
      <c r="H629" s="5">
        <v>6544.48</v>
      </c>
      <c r="I629" s="5" t="str">
        <f>IF(fin_table[[#This Row],[Account Balance]]&lt;20000,"Active", "Not Active")</f>
        <v>Not Active</v>
      </c>
      <c r="J629" s="5">
        <v>45333.55</v>
      </c>
      <c r="K629" s="5" t="str">
        <f t="shared" si="65"/>
        <v>Medium</v>
      </c>
      <c r="L629" s="6" t="s">
        <v>125</v>
      </c>
      <c r="M629">
        <v>45</v>
      </c>
      <c r="N629" s="6" t="str">
        <f t="shared" si="66"/>
        <v>Middle-Aged</v>
      </c>
      <c r="O629" s="6" t="s">
        <v>42</v>
      </c>
      <c r="P629" s="6" t="s">
        <v>50</v>
      </c>
      <c r="Q629" t="s">
        <v>2293</v>
      </c>
      <c r="R629" s="6" t="s">
        <v>52</v>
      </c>
      <c r="S629" s="6" t="s">
        <v>44</v>
      </c>
      <c r="T629" s="14">
        <v>4.1599999999999998E-2</v>
      </c>
      <c r="U629">
        <v>4.16</v>
      </c>
      <c r="V629" t="str">
        <f>IF(fin_table[[#This Row],[Interest Rate(%)]]&gt;4,"high","low")</f>
        <v>high</v>
      </c>
      <c r="W629" s="5">
        <v>26681.654999999999</v>
      </c>
      <c r="X629" s="5">
        <f>fin_table[[#This Row],[Interest Rate]]*fin_table[[#This Row],[Loan Amount]]</f>
        <v>1109.9568479999998</v>
      </c>
      <c r="Y629">
        <v>1</v>
      </c>
      <c r="Z629" s="3">
        <v>523</v>
      </c>
      <c r="AA629" s="3" t="str">
        <f t="shared" si="67"/>
        <v>Poor</v>
      </c>
      <c r="AB629" s="3" cm="1">
        <f t="array" ref="AB629">_xlfn.IFS(fin_table[[#This Row],[Transaction Status]]="Failed", 1, fin_table[[#This Row],[Transaction Status]]="Completed",0,fin_table[[#This Row],[Transaction Status]]="Pending",2)</f>
        <v>0</v>
      </c>
      <c r="AC629" s="3" t="str">
        <f>IF(fin_table[[#This Row],[Loan Defaulters]]=1,"Default", "Good")</f>
        <v>Good</v>
      </c>
      <c r="AD629" s="3">
        <f t="shared" si="68"/>
        <v>1</v>
      </c>
      <c r="AE629" s="4">
        <v>4446.3900000000003</v>
      </c>
      <c r="AF629" s="4" t="str">
        <f>IF(fin_table[[#This Row],[Monthly Income]]&lt;3000, "Low Income", IF(fin_table[[#This Row],[Monthly Income]]&lt;=5000, "Middle Income", "High Income"))</f>
        <v>Middle Income</v>
      </c>
      <c r="AG629" t="s">
        <v>63</v>
      </c>
      <c r="AH629" t="s">
        <v>3635</v>
      </c>
      <c r="AI629" t="str">
        <f t="shared" si="69"/>
        <v>Low-Risk</v>
      </c>
    </row>
    <row r="630" spans="1:35" x14ac:dyDescent="0.35">
      <c r="A630" t="s">
        <v>2352</v>
      </c>
      <c r="B630" t="s">
        <v>1270</v>
      </c>
      <c r="C630" t="s">
        <v>2353</v>
      </c>
      <c r="D630" s="1">
        <v>44663</v>
      </c>
      <c r="E630" s="1" t="str">
        <f t="shared" si="63"/>
        <v>12</v>
      </c>
      <c r="F630" s="1" t="str">
        <f t="shared" si="64"/>
        <v>Apr</v>
      </c>
      <c r="G630" s="6" t="s">
        <v>23</v>
      </c>
      <c r="H630" s="5">
        <v>6481.45</v>
      </c>
      <c r="I630" s="5" t="str">
        <f>IF(fin_table[[#This Row],[Account Balance]]&lt;20000,"Active", "Not Active")</f>
        <v>Not Active</v>
      </c>
      <c r="J630" s="5">
        <v>32728.31</v>
      </c>
      <c r="K630" s="5" t="str">
        <f t="shared" si="65"/>
        <v>Medium</v>
      </c>
      <c r="L630" s="6" t="s">
        <v>49</v>
      </c>
      <c r="M630">
        <v>33</v>
      </c>
      <c r="N630" s="6" t="str">
        <f t="shared" si="66"/>
        <v>Adults</v>
      </c>
      <c r="O630" s="6" t="s">
        <v>42</v>
      </c>
      <c r="P630" s="6" t="s">
        <v>26</v>
      </c>
      <c r="Q630" t="s">
        <v>2354</v>
      </c>
      <c r="R630" s="6" t="s">
        <v>52</v>
      </c>
      <c r="S630" s="6" t="s">
        <v>29</v>
      </c>
      <c r="T630" s="14">
        <v>3.5400000000000001E-2</v>
      </c>
      <c r="U630">
        <v>3.54</v>
      </c>
      <c r="V630" t="str">
        <f>IF(fin_table[[#This Row],[Interest Rate(%)]]&gt;4,"high","low")</f>
        <v>low</v>
      </c>
      <c r="W630" s="5">
        <v>47732.1</v>
      </c>
      <c r="X630" s="5">
        <f>fin_table[[#This Row],[Interest Rate]]*fin_table[[#This Row],[Loan Amount]]</f>
        <v>1689.7163399999999</v>
      </c>
      <c r="Y630">
        <v>13</v>
      </c>
      <c r="Z630" s="3">
        <v>423</v>
      </c>
      <c r="AA630" s="3" t="str">
        <f t="shared" si="67"/>
        <v>Poor</v>
      </c>
      <c r="AB630" s="3" cm="1">
        <f t="array" ref="AB630">_xlfn.IFS(fin_table[[#This Row],[Transaction Status]]="Failed", 1, fin_table[[#This Row],[Transaction Status]]="Completed",0,fin_table[[#This Row],[Transaction Status]]="Pending",2)</f>
        <v>1</v>
      </c>
      <c r="AC630" s="3" t="str">
        <f>IF(fin_table[[#This Row],[Loan Defaulters]]=1,"Default", "Good")</f>
        <v>Default</v>
      </c>
      <c r="AD630" s="3">
        <f t="shared" si="68"/>
        <v>1</v>
      </c>
      <c r="AE630" s="4">
        <v>4755.76</v>
      </c>
      <c r="AF630" s="4" t="str">
        <f>IF(fin_table[[#This Row],[Monthly Income]]&lt;3000, "Low Income", IF(fin_table[[#This Row],[Monthly Income]]&lt;=5000, "Middle Income", "High Income"))</f>
        <v>Middle Income</v>
      </c>
      <c r="AG630" t="s">
        <v>45</v>
      </c>
      <c r="AH630" t="s">
        <v>3636</v>
      </c>
      <c r="AI630" t="str">
        <f t="shared" si="69"/>
        <v>High-Risk</v>
      </c>
    </row>
    <row r="631" spans="1:35" x14ac:dyDescent="0.35">
      <c r="A631" t="s">
        <v>2355</v>
      </c>
      <c r="B631" t="s">
        <v>2356</v>
      </c>
      <c r="C631" t="s">
        <v>2357</v>
      </c>
      <c r="D631" s="1">
        <v>45148</v>
      </c>
      <c r="E631" s="1" t="str">
        <f t="shared" si="63"/>
        <v>10</v>
      </c>
      <c r="F631" s="1" t="str">
        <f t="shared" si="64"/>
        <v>Aug</v>
      </c>
      <c r="G631" s="6" t="s">
        <v>71</v>
      </c>
      <c r="H631" s="5">
        <v>5656.81</v>
      </c>
      <c r="I631" s="5" t="str">
        <f>IF(fin_table[[#This Row],[Account Balance]]&lt;20000,"Active", "Not Active")</f>
        <v>Active</v>
      </c>
      <c r="J631" s="5">
        <v>14378.99</v>
      </c>
      <c r="K631" s="5" t="str">
        <f t="shared" si="65"/>
        <v>Medium</v>
      </c>
      <c r="L631" s="6" t="s">
        <v>24</v>
      </c>
      <c r="M631">
        <v>63</v>
      </c>
      <c r="N631" s="6" t="str">
        <f t="shared" si="66"/>
        <v>Seniors</v>
      </c>
      <c r="O631" s="6" t="s">
        <v>25</v>
      </c>
      <c r="P631" s="6" t="s">
        <v>50</v>
      </c>
      <c r="Q631" t="s">
        <v>2358</v>
      </c>
      <c r="R631" s="6" t="s">
        <v>52</v>
      </c>
      <c r="S631" s="6" t="s">
        <v>29</v>
      </c>
      <c r="T631" s="14">
        <v>3.1300000000000001E-2</v>
      </c>
      <c r="U631">
        <v>3.13</v>
      </c>
      <c r="V631" t="str">
        <f>IF(fin_table[[#This Row],[Interest Rate(%)]]&gt;4,"high","low")</f>
        <v>low</v>
      </c>
      <c r="W631" s="5">
        <v>26681.654999999999</v>
      </c>
      <c r="X631" s="5">
        <f>fin_table[[#This Row],[Interest Rate]]*fin_table[[#This Row],[Loan Amount]]</f>
        <v>835.13580149999996</v>
      </c>
      <c r="Y631">
        <v>21</v>
      </c>
      <c r="Z631" s="3">
        <v>643</v>
      </c>
      <c r="AA631" s="3" t="str">
        <f t="shared" si="67"/>
        <v>Fair</v>
      </c>
      <c r="AB631" s="3" cm="1">
        <f t="array" ref="AB631">_xlfn.IFS(fin_table[[#This Row],[Transaction Status]]="Failed", 1, fin_table[[#This Row],[Transaction Status]]="Completed",0,fin_table[[#This Row],[Transaction Status]]="Pending",2)</f>
        <v>1</v>
      </c>
      <c r="AC631" s="3" t="str">
        <f>IF(fin_table[[#This Row],[Loan Defaulters]]=1,"Default", "Good")</f>
        <v>Default</v>
      </c>
      <c r="AD631" s="3">
        <f t="shared" si="68"/>
        <v>2</v>
      </c>
      <c r="AE631" s="4">
        <v>6422.93</v>
      </c>
      <c r="AF631" s="4" t="str">
        <f>IF(fin_table[[#This Row],[Monthly Income]]&lt;3000, "Low Income", IF(fin_table[[#This Row],[Monthly Income]]&lt;=5000, "Middle Income", "High Income"))</f>
        <v>High Income</v>
      </c>
      <c r="AG631" t="s">
        <v>45</v>
      </c>
      <c r="AH631" t="s">
        <v>3635</v>
      </c>
      <c r="AI631" t="str">
        <f t="shared" si="69"/>
        <v>Low-Risk</v>
      </c>
    </row>
    <row r="632" spans="1:35" x14ac:dyDescent="0.35">
      <c r="A632" t="s">
        <v>2359</v>
      </c>
      <c r="B632" t="s">
        <v>2360</v>
      </c>
      <c r="C632" t="s">
        <v>2361</v>
      </c>
      <c r="D632" s="1">
        <v>45034</v>
      </c>
      <c r="E632" s="1" t="str">
        <f t="shared" si="63"/>
        <v>18</v>
      </c>
      <c r="F632" s="1" t="str">
        <f t="shared" si="64"/>
        <v>Apr</v>
      </c>
      <c r="G632" s="6" t="s">
        <v>71</v>
      </c>
      <c r="H632" s="5">
        <v>7791.59</v>
      </c>
      <c r="I632" s="5" t="str">
        <f>IF(fin_table[[#This Row],[Account Balance]]&lt;20000,"Active", "Not Active")</f>
        <v>Active</v>
      </c>
      <c r="J632" s="5">
        <v>9682.43</v>
      </c>
      <c r="K632" s="5" t="str">
        <f t="shared" si="65"/>
        <v>Low</v>
      </c>
      <c r="L632" s="6" t="s">
        <v>24</v>
      </c>
      <c r="M632">
        <v>40</v>
      </c>
      <c r="N632" s="6" t="str">
        <f t="shared" si="66"/>
        <v>Middle-Aged</v>
      </c>
      <c r="O632" s="6" t="s">
        <v>25</v>
      </c>
      <c r="P632" s="6" t="s">
        <v>36</v>
      </c>
      <c r="Q632" t="s">
        <v>1110</v>
      </c>
      <c r="R632" s="6" t="s">
        <v>38</v>
      </c>
      <c r="S632" s="6" t="s">
        <v>44</v>
      </c>
      <c r="T632" s="14">
        <v>2.5700000000000001E-2</v>
      </c>
      <c r="U632">
        <v>2.57</v>
      </c>
      <c r="V632" t="str">
        <f>IF(fin_table[[#This Row],[Interest Rate(%)]]&gt;4,"high","low")</f>
        <v>low</v>
      </c>
      <c r="W632" s="5">
        <v>9269.18</v>
      </c>
      <c r="X632" s="5">
        <f>fin_table[[#This Row],[Interest Rate]]*fin_table[[#This Row],[Loan Amount]]</f>
        <v>238.21792600000001</v>
      </c>
      <c r="Y632">
        <v>20</v>
      </c>
      <c r="Z632" s="3">
        <v>823</v>
      </c>
      <c r="AA632" s="3" t="str">
        <f t="shared" si="67"/>
        <v>Excellent</v>
      </c>
      <c r="AB632" s="3" cm="1">
        <f t="array" ref="AB632">_xlfn.IFS(fin_table[[#This Row],[Transaction Status]]="Failed", 1, fin_table[[#This Row],[Transaction Status]]="Completed",0,fin_table[[#This Row],[Transaction Status]]="Pending",2)</f>
        <v>0</v>
      </c>
      <c r="AC632" s="3" t="str">
        <f>IF(fin_table[[#This Row],[Loan Defaulters]]=1,"Default", "Good")</f>
        <v>Good</v>
      </c>
      <c r="AD632" s="3">
        <f t="shared" si="68"/>
        <v>5</v>
      </c>
      <c r="AE632" s="4">
        <v>6135.72</v>
      </c>
      <c r="AF632" s="4" t="str">
        <f>IF(fin_table[[#This Row],[Monthly Income]]&lt;3000, "Low Income", IF(fin_table[[#This Row],[Monthly Income]]&lt;=5000, "Middle Income", "High Income"))</f>
        <v>High Income</v>
      </c>
      <c r="AG632" t="s">
        <v>63</v>
      </c>
      <c r="AH632" t="s">
        <v>3636</v>
      </c>
      <c r="AI632" t="str">
        <f t="shared" si="69"/>
        <v>Low-Risk</v>
      </c>
    </row>
    <row r="633" spans="1:35" x14ac:dyDescent="0.35">
      <c r="A633" t="s">
        <v>2362</v>
      </c>
      <c r="B633" t="s">
        <v>2363</v>
      </c>
      <c r="C633" t="s">
        <v>2364</v>
      </c>
      <c r="D633" s="1">
        <v>44962</v>
      </c>
      <c r="E633" s="1" t="str">
        <f t="shared" si="63"/>
        <v>05</v>
      </c>
      <c r="F633" s="1" t="str">
        <f t="shared" si="64"/>
        <v>Feb</v>
      </c>
      <c r="G633" s="6" t="s">
        <v>23</v>
      </c>
      <c r="H633" s="5">
        <v>2129.31</v>
      </c>
      <c r="I633" s="5" t="str">
        <f>IF(fin_table[[#This Row],[Account Balance]]&lt;20000,"Active", "Not Active")</f>
        <v>Active</v>
      </c>
      <c r="J633" s="5">
        <v>15419.07</v>
      </c>
      <c r="K633" s="5" t="str">
        <f t="shared" si="65"/>
        <v>Medium</v>
      </c>
      <c r="L633" s="6" t="s">
        <v>125</v>
      </c>
      <c r="M633">
        <v>69</v>
      </c>
      <c r="N633" s="6" t="str">
        <f t="shared" si="66"/>
        <v>Seniors</v>
      </c>
      <c r="O633" s="6" t="s">
        <v>25</v>
      </c>
      <c r="P633" s="6" t="s">
        <v>26</v>
      </c>
      <c r="Q633" t="s">
        <v>2091</v>
      </c>
      <c r="R633" s="6" t="s">
        <v>38</v>
      </c>
      <c r="S633" s="6" t="s">
        <v>62</v>
      </c>
      <c r="T633" s="14">
        <v>2.1700000000000001E-2</v>
      </c>
      <c r="U633">
        <v>2.17</v>
      </c>
      <c r="V633" t="str">
        <f>IF(fin_table[[#This Row],[Interest Rate(%)]]&gt;4,"high","low")</f>
        <v>low</v>
      </c>
      <c r="W633" s="5">
        <v>26681.654999999999</v>
      </c>
      <c r="X633" s="5">
        <f>fin_table[[#This Row],[Interest Rate]]*fin_table[[#This Row],[Loan Amount]]</f>
        <v>578.99191350000001</v>
      </c>
      <c r="Y633">
        <v>13</v>
      </c>
      <c r="Z633" s="3">
        <v>351</v>
      </c>
      <c r="AA633" s="3" t="str">
        <f t="shared" si="67"/>
        <v>Poor</v>
      </c>
      <c r="AB633" s="3" cm="1">
        <f t="array" ref="AB633">_xlfn.IFS(fin_table[[#This Row],[Transaction Status]]="Failed", 1, fin_table[[#This Row],[Transaction Status]]="Completed",0,fin_table[[#This Row],[Transaction Status]]="Pending",2)</f>
        <v>2</v>
      </c>
      <c r="AC633" s="3" t="str">
        <f>IF(fin_table[[#This Row],[Loan Defaulters]]=1,"Default", "Good")</f>
        <v>Good</v>
      </c>
      <c r="AD633" s="3">
        <f t="shared" si="68"/>
        <v>1</v>
      </c>
      <c r="AE633" s="4">
        <v>14434.86</v>
      </c>
      <c r="AF633" s="4" t="str">
        <f>IF(fin_table[[#This Row],[Monthly Income]]&lt;3000, "Low Income", IF(fin_table[[#This Row],[Monthly Income]]&lt;=5000, "Middle Income", "High Income"))</f>
        <v>High Income</v>
      </c>
      <c r="AG633" t="s">
        <v>63</v>
      </c>
      <c r="AH633" t="s">
        <v>3635</v>
      </c>
      <c r="AI633" t="str">
        <f t="shared" si="69"/>
        <v>Low-Risk</v>
      </c>
    </row>
    <row r="634" spans="1:35" x14ac:dyDescent="0.35">
      <c r="A634" t="s">
        <v>2365</v>
      </c>
      <c r="B634" t="s">
        <v>2366</v>
      </c>
      <c r="C634" t="s">
        <v>2367</v>
      </c>
      <c r="D634" s="1">
        <v>44727</v>
      </c>
      <c r="E634" s="1" t="str">
        <f t="shared" si="63"/>
        <v>15</v>
      </c>
      <c r="F634" s="1" t="str">
        <f t="shared" si="64"/>
        <v>Jun</v>
      </c>
      <c r="G634" s="6" t="s">
        <v>71</v>
      </c>
      <c r="H634" s="5">
        <v>7283.71</v>
      </c>
      <c r="I634" s="5" t="str">
        <f>IF(fin_table[[#This Row],[Account Balance]]&lt;20000,"Active", "Not Active")</f>
        <v>Active</v>
      </c>
      <c r="J634" s="5">
        <v>6625.05</v>
      </c>
      <c r="K634" s="5" t="str">
        <f t="shared" si="65"/>
        <v>Low</v>
      </c>
      <c r="L634" s="6" t="s">
        <v>49</v>
      </c>
      <c r="M634">
        <v>37</v>
      </c>
      <c r="N634" s="6" t="str">
        <f t="shared" si="66"/>
        <v>Middle-Aged</v>
      </c>
      <c r="O634" s="6" t="s">
        <v>25</v>
      </c>
      <c r="P634" s="6" t="s">
        <v>36</v>
      </c>
      <c r="Q634" t="s">
        <v>2368</v>
      </c>
      <c r="R634" s="6" t="s">
        <v>38</v>
      </c>
      <c r="S634" s="6" t="s">
        <v>44</v>
      </c>
      <c r="T634" s="14">
        <v>4.2900000000000001E-2</v>
      </c>
      <c r="U634">
        <v>4.29</v>
      </c>
      <c r="V634" t="str">
        <f>IF(fin_table[[#This Row],[Interest Rate(%)]]&gt;4,"high","low")</f>
        <v>high</v>
      </c>
      <c r="W634" s="5">
        <v>26681.654999999999</v>
      </c>
      <c r="X634" s="5">
        <f>fin_table[[#This Row],[Interest Rate]]*fin_table[[#This Row],[Loan Amount]]</f>
        <v>1144.6429994999999</v>
      </c>
      <c r="Y634">
        <v>7</v>
      </c>
      <c r="Z634" s="3">
        <v>428</v>
      </c>
      <c r="AA634" s="3" t="str">
        <f t="shared" si="67"/>
        <v>Poor</v>
      </c>
      <c r="AB634" s="3" cm="1">
        <f t="array" ref="AB634">_xlfn.IFS(fin_table[[#This Row],[Transaction Status]]="Failed", 1, fin_table[[#This Row],[Transaction Status]]="Completed",0,fin_table[[#This Row],[Transaction Status]]="Pending",2)</f>
        <v>0</v>
      </c>
      <c r="AC634" s="3" t="str">
        <f>IF(fin_table[[#This Row],[Loan Defaulters]]=1,"Default", "Good")</f>
        <v>Good</v>
      </c>
      <c r="AD634" s="3">
        <f t="shared" si="68"/>
        <v>1</v>
      </c>
      <c r="AE634" s="4">
        <v>12257.96</v>
      </c>
      <c r="AF634" s="4" t="str">
        <f>IF(fin_table[[#This Row],[Monthly Income]]&lt;3000, "Low Income", IF(fin_table[[#This Row],[Monthly Income]]&lt;=5000, "Middle Income", "High Income"))</f>
        <v>High Income</v>
      </c>
      <c r="AG634" t="s">
        <v>30</v>
      </c>
      <c r="AH634" t="s">
        <v>3635</v>
      </c>
      <c r="AI634" t="str">
        <f t="shared" si="69"/>
        <v>Low-Risk</v>
      </c>
    </row>
    <row r="635" spans="1:35" x14ac:dyDescent="0.35">
      <c r="A635" t="s">
        <v>2369</v>
      </c>
      <c r="B635" t="s">
        <v>2370</v>
      </c>
      <c r="C635" t="s">
        <v>2371</v>
      </c>
      <c r="D635" s="1">
        <v>44982</v>
      </c>
      <c r="E635" s="1" t="str">
        <f t="shared" si="63"/>
        <v>25</v>
      </c>
      <c r="F635" s="1" t="str">
        <f t="shared" si="64"/>
        <v>Feb</v>
      </c>
      <c r="G635" s="6" t="s">
        <v>56</v>
      </c>
      <c r="H635" s="5">
        <v>6235.37</v>
      </c>
      <c r="I635" s="5" t="str">
        <f>IF(fin_table[[#This Row],[Account Balance]]&lt;20000,"Active", "Not Active")</f>
        <v>Not Active</v>
      </c>
      <c r="J635" s="5">
        <v>47135.11</v>
      </c>
      <c r="K635" s="5" t="str">
        <f t="shared" si="65"/>
        <v>Medium</v>
      </c>
      <c r="L635" s="6" t="s">
        <v>100</v>
      </c>
      <c r="M635">
        <v>55</v>
      </c>
      <c r="N635" s="6" t="str">
        <f t="shared" si="66"/>
        <v>Older Adults</v>
      </c>
      <c r="O635" s="6" t="s">
        <v>25</v>
      </c>
      <c r="P635" s="6" t="s">
        <v>26</v>
      </c>
      <c r="Q635" t="s">
        <v>2372</v>
      </c>
      <c r="R635" s="6" t="s">
        <v>38</v>
      </c>
      <c r="S635" s="6" t="s">
        <v>44</v>
      </c>
      <c r="T635" s="14">
        <v>2.81E-2</v>
      </c>
      <c r="U635">
        <v>2.81</v>
      </c>
      <c r="V635" t="str">
        <f>IF(fin_table[[#This Row],[Interest Rate(%)]]&gt;4,"high","low")</f>
        <v>low</v>
      </c>
      <c r="W635" s="5">
        <v>26681.654999999999</v>
      </c>
      <c r="X635" s="5">
        <f>fin_table[[#This Row],[Interest Rate]]*fin_table[[#This Row],[Loan Amount]]</f>
        <v>749.75450549999994</v>
      </c>
      <c r="Y635">
        <v>9</v>
      </c>
      <c r="Z635" s="3">
        <v>434</v>
      </c>
      <c r="AA635" s="3" t="str">
        <f t="shared" si="67"/>
        <v>Poor</v>
      </c>
      <c r="AB635" s="3" cm="1">
        <f t="array" ref="AB635">_xlfn.IFS(fin_table[[#This Row],[Transaction Status]]="Failed", 1, fin_table[[#This Row],[Transaction Status]]="Completed",0,fin_table[[#This Row],[Transaction Status]]="Pending",2)</f>
        <v>0</v>
      </c>
      <c r="AC635" s="3" t="str">
        <f>IF(fin_table[[#This Row],[Loan Defaulters]]=1,"Default", "Good")</f>
        <v>Good</v>
      </c>
      <c r="AD635" s="3">
        <f t="shared" si="68"/>
        <v>1</v>
      </c>
      <c r="AE635" s="4">
        <v>11412.11</v>
      </c>
      <c r="AF635" s="4" t="str">
        <f>IF(fin_table[[#This Row],[Monthly Income]]&lt;3000, "Low Income", IF(fin_table[[#This Row],[Monthly Income]]&lt;=5000, "Middle Income", "High Income"))</f>
        <v>High Income</v>
      </c>
      <c r="AG635" t="s">
        <v>30</v>
      </c>
      <c r="AH635" t="s">
        <v>3635</v>
      </c>
      <c r="AI635" t="str">
        <f t="shared" si="69"/>
        <v>Low-Risk</v>
      </c>
    </row>
    <row r="636" spans="1:35" x14ac:dyDescent="0.35">
      <c r="A636" t="s">
        <v>2373</v>
      </c>
      <c r="B636" t="s">
        <v>2374</v>
      </c>
      <c r="C636" t="s">
        <v>2375</v>
      </c>
      <c r="D636" s="1">
        <v>44700</v>
      </c>
      <c r="E636" s="1" t="str">
        <f t="shared" si="63"/>
        <v>19</v>
      </c>
      <c r="F636" s="1" t="str">
        <f t="shared" si="64"/>
        <v>May</v>
      </c>
      <c r="G636" s="6" t="s">
        <v>56</v>
      </c>
      <c r="H636" s="5">
        <v>8971.14</v>
      </c>
      <c r="I636" s="5" t="str">
        <f>IF(fin_table[[#This Row],[Account Balance]]&lt;20000,"Active", "Not Active")</f>
        <v>Not Active</v>
      </c>
      <c r="J636" s="5">
        <v>39426.1</v>
      </c>
      <c r="K636" s="5" t="str">
        <f t="shared" si="65"/>
        <v>Medium</v>
      </c>
      <c r="L636" s="6" t="s">
        <v>35</v>
      </c>
      <c r="M636">
        <v>42</v>
      </c>
      <c r="N636" s="6" t="str">
        <f t="shared" si="66"/>
        <v>Middle-Aged</v>
      </c>
      <c r="O636" s="6" t="s">
        <v>42</v>
      </c>
      <c r="P636" s="6" t="s">
        <v>50</v>
      </c>
      <c r="Q636" t="s">
        <v>2376</v>
      </c>
      <c r="R636" s="6" t="s">
        <v>38</v>
      </c>
      <c r="S636" s="6" t="s">
        <v>62</v>
      </c>
      <c r="T636" s="14">
        <v>3.0099999999999998E-2</v>
      </c>
      <c r="U636">
        <v>3.01</v>
      </c>
      <c r="V636" t="str">
        <f>IF(fin_table[[#This Row],[Interest Rate(%)]]&gt;4,"high","low")</f>
        <v>low</v>
      </c>
      <c r="W636" s="5">
        <v>26681.654999999999</v>
      </c>
      <c r="X636" s="5">
        <f>fin_table[[#This Row],[Interest Rate]]*fin_table[[#This Row],[Loan Amount]]</f>
        <v>803.11781549999989</v>
      </c>
      <c r="Y636">
        <v>8</v>
      </c>
      <c r="Z636" s="3">
        <v>426</v>
      </c>
      <c r="AA636" s="3" t="str">
        <f t="shared" si="67"/>
        <v>Poor</v>
      </c>
      <c r="AB636" s="3" cm="1">
        <f t="array" ref="AB636">_xlfn.IFS(fin_table[[#This Row],[Transaction Status]]="Failed", 1, fin_table[[#This Row],[Transaction Status]]="Completed",0,fin_table[[#This Row],[Transaction Status]]="Pending",2)</f>
        <v>2</v>
      </c>
      <c r="AC636" s="3" t="str">
        <f>IF(fin_table[[#This Row],[Loan Defaulters]]=1,"Default", "Good")</f>
        <v>Good</v>
      </c>
      <c r="AD636" s="3">
        <f t="shared" si="68"/>
        <v>1</v>
      </c>
      <c r="AE636" s="4">
        <v>4417.5200000000004</v>
      </c>
      <c r="AF636" s="4" t="str">
        <f>IF(fin_table[[#This Row],[Monthly Income]]&lt;3000, "Low Income", IF(fin_table[[#This Row],[Monthly Income]]&lt;=5000, "Middle Income", "High Income"))</f>
        <v>Middle Income</v>
      </c>
      <c r="AG636" t="s">
        <v>63</v>
      </c>
      <c r="AH636" t="s">
        <v>3635</v>
      </c>
      <c r="AI636" t="str">
        <f t="shared" si="69"/>
        <v>Low-Risk</v>
      </c>
    </row>
    <row r="637" spans="1:35" x14ac:dyDescent="0.35">
      <c r="A637" t="s">
        <v>2377</v>
      </c>
      <c r="B637" t="s">
        <v>2378</v>
      </c>
      <c r="C637" t="s">
        <v>2379</v>
      </c>
      <c r="D637" s="1">
        <v>44997</v>
      </c>
      <c r="E637" s="1" t="str">
        <f t="shared" si="63"/>
        <v>12</v>
      </c>
      <c r="F637" s="1" t="str">
        <f t="shared" si="64"/>
        <v>Mar</v>
      </c>
      <c r="G637" s="6" t="s">
        <v>23</v>
      </c>
      <c r="H637" s="5">
        <v>8487.2199999999993</v>
      </c>
      <c r="I637" s="5" t="str">
        <f>IF(fin_table[[#This Row],[Account Balance]]&lt;20000,"Active", "Not Active")</f>
        <v>Not Active</v>
      </c>
      <c r="J637" s="5">
        <v>23657.17</v>
      </c>
      <c r="K637" s="5" t="str">
        <f t="shared" si="65"/>
        <v>Medium</v>
      </c>
      <c r="L637" s="6" t="s">
        <v>35</v>
      </c>
      <c r="M637">
        <v>45</v>
      </c>
      <c r="N637" s="6" t="str">
        <f t="shared" si="66"/>
        <v>Middle-Aged</v>
      </c>
      <c r="O637" s="6" t="s">
        <v>42</v>
      </c>
      <c r="P637" s="6" t="s">
        <v>36</v>
      </c>
      <c r="Q637" t="s">
        <v>150</v>
      </c>
      <c r="R637" s="6" t="s">
        <v>38</v>
      </c>
      <c r="S637" s="6" t="s">
        <v>29</v>
      </c>
      <c r="T637" s="14">
        <v>3.0800000000000001E-2</v>
      </c>
      <c r="U637">
        <v>3.08</v>
      </c>
      <c r="V637" t="str">
        <f>IF(fin_table[[#This Row],[Interest Rate(%)]]&gt;4,"high","low")</f>
        <v>low</v>
      </c>
      <c r="W637" s="5">
        <v>26681.654999999999</v>
      </c>
      <c r="X637" s="5">
        <f>fin_table[[#This Row],[Interest Rate]]*fin_table[[#This Row],[Loan Amount]]</f>
        <v>821.79497400000002</v>
      </c>
      <c r="Y637">
        <v>13</v>
      </c>
      <c r="Z637" s="3">
        <v>370</v>
      </c>
      <c r="AA637" s="3" t="str">
        <f t="shared" si="67"/>
        <v>Poor</v>
      </c>
      <c r="AB637" s="3" cm="1">
        <f t="array" ref="AB637">_xlfn.IFS(fin_table[[#This Row],[Transaction Status]]="Failed", 1, fin_table[[#This Row],[Transaction Status]]="Completed",0,fin_table[[#This Row],[Transaction Status]]="Pending",2)</f>
        <v>1</v>
      </c>
      <c r="AC637" s="3" t="str">
        <f>IF(fin_table[[#This Row],[Loan Defaulters]]=1,"Default", "Good")</f>
        <v>Default</v>
      </c>
      <c r="AD637" s="3">
        <f t="shared" si="68"/>
        <v>1</v>
      </c>
      <c r="AE637" s="4">
        <v>13823.83</v>
      </c>
      <c r="AF637" s="4" t="str">
        <f>IF(fin_table[[#This Row],[Monthly Income]]&lt;3000, "Low Income", IF(fin_table[[#This Row],[Monthly Income]]&lt;=5000, "Middle Income", "High Income"))</f>
        <v>High Income</v>
      </c>
      <c r="AG637" t="s">
        <v>45</v>
      </c>
      <c r="AH637" t="s">
        <v>3635</v>
      </c>
      <c r="AI637" t="str">
        <f t="shared" si="69"/>
        <v>Low-Risk</v>
      </c>
    </row>
    <row r="638" spans="1:35" x14ac:dyDescent="0.35">
      <c r="A638" t="s">
        <v>2380</v>
      </c>
      <c r="B638" t="s">
        <v>2381</v>
      </c>
      <c r="C638" t="s">
        <v>2382</v>
      </c>
      <c r="D638" s="1">
        <v>45092</v>
      </c>
      <c r="E638" s="1" t="str">
        <f t="shared" si="63"/>
        <v>15</v>
      </c>
      <c r="F638" s="1" t="str">
        <f t="shared" si="64"/>
        <v>Jun</v>
      </c>
      <c r="G638" s="6" t="s">
        <v>71</v>
      </c>
      <c r="H638" s="5">
        <v>3219.96</v>
      </c>
      <c r="I638" s="5" t="str">
        <f>IF(fin_table[[#This Row],[Account Balance]]&lt;20000,"Active", "Not Active")</f>
        <v>Not Active</v>
      </c>
      <c r="J638" s="5">
        <v>43383.17</v>
      </c>
      <c r="K638" s="5" t="str">
        <f t="shared" si="65"/>
        <v>Medium</v>
      </c>
      <c r="L638" s="6" t="s">
        <v>125</v>
      </c>
      <c r="M638">
        <v>22</v>
      </c>
      <c r="N638" s="6" t="str">
        <f t="shared" si="66"/>
        <v>Young Adults</v>
      </c>
      <c r="O638" s="6" t="s">
        <v>25</v>
      </c>
      <c r="P638" s="6" t="s">
        <v>36</v>
      </c>
      <c r="Q638" t="s">
        <v>1264</v>
      </c>
      <c r="R638" s="6" t="s">
        <v>38</v>
      </c>
      <c r="S638" s="6" t="s">
        <v>44</v>
      </c>
      <c r="T638" s="14">
        <v>2.7900000000000001E-2</v>
      </c>
      <c r="U638">
        <v>2.79</v>
      </c>
      <c r="V638" t="str">
        <f>IF(fin_table[[#This Row],[Interest Rate(%)]]&gt;4,"high","low")</f>
        <v>low</v>
      </c>
      <c r="W638" s="5">
        <v>26681.654999999999</v>
      </c>
      <c r="X638" s="5">
        <f>fin_table[[#This Row],[Interest Rate]]*fin_table[[#This Row],[Loan Amount]]</f>
        <v>744.41817449999996</v>
      </c>
      <c r="Y638">
        <v>13</v>
      </c>
      <c r="Z638" s="3">
        <v>572</v>
      </c>
      <c r="AA638" s="3" t="str">
        <f t="shared" si="67"/>
        <v>Poor</v>
      </c>
      <c r="AB638" s="3" cm="1">
        <f t="array" ref="AB638">_xlfn.IFS(fin_table[[#This Row],[Transaction Status]]="Failed", 1, fin_table[[#This Row],[Transaction Status]]="Completed",0,fin_table[[#This Row],[Transaction Status]]="Pending",2)</f>
        <v>0</v>
      </c>
      <c r="AC638" s="3" t="str">
        <f>IF(fin_table[[#This Row],[Loan Defaulters]]=1,"Default", "Good")</f>
        <v>Good</v>
      </c>
      <c r="AD638" s="3">
        <f t="shared" si="68"/>
        <v>1</v>
      </c>
      <c r="AE638" s="4">
        <v>12762.31</v>
      </c>
      <c r="AF638" s="4" t="str">
        <f>IF(fin_table[[#This Row],[Monthly Income]]&lt;3000, "Low Income", IF(fin_table[[#This Row],[Monthly Income]]&lt;=5000, "Middle Income", "High Income"))</f>
        <v>High Income</v>
      </c>
      <c r="AG638" t="s">
        <v>30</v>
      </c>
      <c r="AH638" t="s">
        <v>3635</v>
      </c>
      <c r="AI638" t="str">
        <f t="shared" si="69"/>
        <v>Low-Risk</v>
      </c>
    </row>
    <row r="639" spans="1:35" x14ac:dyDescent="0.35">
      <c r="A639" t="s">
        <v>2383</v>
      </c>
      <c r="B639" t="s">
        <v>2384</v>
      </c>
      <c r="C639" t="s">
        <v>2385</v>
      </c>
      <c r="D639" s="1">
        <v>45005</v>
      </c>
      <c r="E639" s="1" t="str">
        <f t="shared" si="63"/>
        <v>20</v>
      </c>
      <c r="F639" s="1" t="str">
        <f t="shared" si="64"/>
        <v>Mar</v>
      </c>
      <c r="G639" s="6" t="s">
        <v>34</v>
      </c>
      <c r="H639" s="5">
        <v>2834.75</v>
      </c>
      <c r="I639" s="5" t="str">
        <f>IF(fin_table[[#This Row],[Account Balance]]&lt;20000,"Active", "Not Active")</f>
        <v>Active</v>
      </c>
      <c r="J639" s="5">
        <v>13223.45</v>
      </c>
      <c r="K639" s="5" t="str">
        <f t="shared" si="65"/>
        <v>Medium</v>
      </c>
      <c r="L639" s="6" t="s">
        <v>49</v>
      </c>
      <c r="M639">
        <v>38</v>
      </c>
      <c r="N639" s="6" t="str">
        <f t="shared" si="66"/>
        <v>Middle-Aged</v>
      </c>
      <c r="O639" s="6" t="s">
        <v>25</v>
      </c>
      <c r="P639" s="6" t="s">
        <v>26</v>
      </c>
      <c r="Q639" t="s">
        <v>2386</v>
      </c>
      <c r="R639" s="6" t="s">
        <v>52</v>
      </c>
      <c r="S639" s="6" t="s">
        <v>29</v>
      </c>
      <c r="T639" s="14">
        <v>2.0199999999999999E-2</v>
      </c>
      <c r="U639">
        <v>2.02</v>
      </c>
      <c r="V639" t="str">
        <f>IF(fin_table[[#This Row],[Interest Rate(%)]]&gt;4,"high","low")</f>
        <v>low</v>
      </c>
      <c r="W639" s="5">
        <v>26681.654999999999</v>
      </c>
      <c r="X639" s="5">
        <f>fin_table[[#This Row],[Interest Rate]]*fin_table[[#This Row],[Loan Amount]]</f>
        <v>538.96943099999999</v>
      </c>
      <c r="Y639">
        <v>13</v>
      </c>
      <c r="Z639" s="3">
        <v>486</v>
      </c>
      <c r="AA639" s="3" t="str">
        <f t="shared" si="67"/>
        <v>Poor</v>
      </c>
      <c r="AB639" s="3" cm="1">
        <f t="array" ref="AB639">_xlfn.IFS(fin_table[[#This Row],[Transaction Status]]="Failed", 1, fin_table[[#This Row],[Transaction Status]]="Completed",0,fin_table[[#This Row],[Transaction Status]]="Pending",2)</f>
        <v>1</v>
      </c>
      <c r="AC639" s="3" t="str">
        <f>IF(fin_table[[#This Row],[Loan Defaulters]]=1,"Default", "Good")</f>
        <v>Default</v>
      </c>
      <c r="AD639" s="3">
        <f t="shared" si="68"/>
        <v>1</v>
      </c>
      <c r="AE639" s="4">
        <v>4127.34</v>
      </c>
      <c r="AF639" s="4" t="str">
        <f>IF(fin_table[[#This Row],[Monthly Income]]&lt;3000, "Low Income", IF(fin_table[[#This Row],[Monthly Income]]&lt;=5000, "Middle Income", "High Income"))</f>
        <v>Middle Income</v>
      </c>
      <c r="AG639" t="s">
        <v>63</v>
      </c>
      <c r="AH639" t="s">
        <v>3635</v>
      </c>
      <c r="AI639" t="str">
        <f t="shared" si="69"/>
        <v>Low-Risk</v>
      </c>
    </row>
    <row r="640" spans="1:35" x14ac:dyDescent="0.35">
      <c r="A640" t="s">
        <v>2387</v>
      </c>
      <c r="B640" t="s">
        <v>2388</v>
      </c>
      <c r="C640" t="s">
        <v>2389</v>
      </c>
      <c r="D640" s="1">
        <v>45071</v>
      </c>
      <c r="E640" s="1" t="str">
        <f t="shared" si="63"/>
        <v>25</v>
      </c>
      <c r="F640" s="1" t="str">
        <f t="shared" si="64"/>
        <v>May</v>
      </c>
      <c r="G640" s="6" t="s">
        <v>56</v>
      </c>
      <c r="H640" s="5">
        <v>9818.3700000000008</v>
      </c>
      <c r="I640" s="5" t="str">
        <f>IF(fin_table[[#This Row],[Account Balance]]&lt;20000,"Active", "Not Active")</f>
        <v>Not Active</v>
      </c>
      <c r="J640" s="5">
        <v>36138.910000000003</v>
      </c>
      <c r="K640" s="5" t="str">
        <f t="shared" si="65"/>
        <v>Medium</v>
      </c>
      <c r="L640" s="6" t="s">
        <v>49</v>
      </c>
      <c r="M640">
        <v>35</v>
      </c>
      <c r="N640" s="6" t="str">
        <f t="shared" si="66"/>
        <v>Adults</v>
      </c>
      <c r="O640" s="6" t="s">
        <v>25</v>
      </c>
      <c r="P640" s="6" t="s">
        <v>36</v>
      </c>
      <c r="Q640" t="s">
        <v>1645</v>
      </c>
      <c r="R640" s="6" t="s">
        <v>28</v>
      </c>
      <c r="S640" s="6" t="s">
        <v>29</v>
      </c>
      <c r="T640" s="14">
        <v>1.4800000000000001E-2</v>
      </c>
      <c r="U640">
        <v>1.48</v>
      </c>
      <c r="V640" t="str">
        <f>IF(fin_table[[#This Row],[Interest Rate(%)]]&gt;4,"high","low")</f>
        <v>low</v>
      </c>
      <c r="W640" s="5">
        <v>29877.37</v>
      </c>
      <c r="X640" s="5">
        <f>fin_table[[#This Row],[Interest Rate]]*fin_table[[#This Row],[Loan Amount]]</f>
        <v>442.18507599999998</v>
      </c>
      <c r="Y640">
        <v>13</v>
      </c>
      <c r="Z640" s="3">
        <v>302</v>
      </c>
      <c r="AA640" s="3" t="str">
        <f t="shared" si="67"/>
        <v>Poor</v>
      </c>
      <c r="AB640" s="3" cm="1">
        <f t="array" ref="AB640">_xlfn.IFS(fin_table[[#This Row],[Transaction Status]]="Failed", 1, fin_table[[#This Row],[Transaction Status]]="Completed",0,fin_table[[#This Row],[Transaction Status]]="Pending",2)</f>
        <v>1</v>
      </c>
      <c r="AC640" s="3" t="str">
        <f>IF(fin_table[[#This Row],[Loan Defaulters]]=1,"Default", "Good")</f>
        <v>Default</v>
      </c>
      <c r="AD640" s="3">
        <f t="shared" si="68"/>
        <v>1</v>
      </c>
      <c r="AE640" s="4">
        <v>13325.21</v>
      </c>
      <c r="AF640" s="4" t="str">
        <f>IF(fin_table[[#This Row],[Monthly Income]]&lt;3000, "Low Income", IF(fin_table[[#This Row],[Monthly Income]]&lt;=5000, "Middle Income", "High Income"))</f>
        <v>High Income</v>
      </c>
      <c r="AG640" t="s">
        <v>63</v>
      </c>
      <c r="AH640" t="s">
        <v>3636</v>
      </c>
      <c r="AI640" t="str">
        <f t="shared" si="69"/>
        <v>Low-Risk</v>
      </c>
    </row>
    <row r="641" spans="1:35" x14ac:dyDescent="0.35">
      <c r="A641" t="s">
        <v>2390</v>
      </c>
      <c r="B641" t="s">
        <v>2391</v>
      </c>
      <c r="C641" t="s">
        <v>2392</v>
      </c>
      <c r="D641" s="1">
        <v>44571</v>
      </c>
      <c r="E641" s="1" t="str">
        <f t="shared" si="63"/>
        <v>10</v>
      </c>
      <c r="F641" s="1" t="str">
        <f t="shared" si="64"/>
        <v>Jan</v>
      </c>
      <c r="G641" s="6" t="s">
        <v>23</v>
      </c>
      <c r="H641" s="5">
        <v>5319.93</v>
      </c>
      <c r="I641" s="5" t="str">
        <f>IF(fin_table[[#This Row],[Account Balance]]&lt;20000,"Active", "Not Active")</f>
        <v>Not Active</v>
      </c>
      <c r="J641" s="5">
        <v>42950.49</v>
      </c>
      <c r="K641" s="5" t="str">
        <f t="shared" si="65"/>
        <v>Medium</v>
      </c>
      <c r="L641" s="6" t="s">
        <v>24</v>
      </c>
      <c r="M641">
        <v>64</v>
      </c>
      <c r="N641" s="6" t="str">
        <f t="shared" si="66"/>
        <v>Seniors</v>
      </c>
      <c r="O641" s="6" t="s">
        <v>42</v>
      </c>
      <c r="P641" s="6" t="s">
        <v>50</v>
      </c>
      <c r="Q641" t="s">
        <v>351</v>
      </c>
      <c r="R641" s="6" t="s">
        <v>38</v>
      </c>
      <c r="S641" s="6" t="s">
        <v>62</v>
      </c>
      <c r="T641" s="14">
        <v>1.3899999999999999E-2</v>
      </c>
      <c r="U641">
        <v>1.39</v>
      </c>
      <c r="V641" t="str">
        <f>IF(fin_table[[#This Row],[Interest Rate(%)]]&gt;4,"high","low")</f>
        <v>low</v>
      </c>
      <c r="W641" s="5">
        <v>6125.68</v>
      </c>
      <c r="X641" s="5">
        <f>fin_table[[#This Row],[Interest Rate]]*fin_table[[#This Row],[Loan Amount]]</f>
        <v>85.146951999999999</v>
      </c>
      <c r="Y641">
        <v>13</v>
      </c>
      <c r="Z641" s="3">
        <v>584</v>
      </c>
      <c r="AA641" s="3" t="str">
        <f t="shared" si="67"/>
        <v>Fair</v>
      </c>
      <c r="AB641" s="3" cm="1">
        <f t="array" ref="AB641">_xlfn.IFS(fin_table[[#This Row],[Transaction Status]]="Failed", 1, fin_table[[#This Row],[Transaction Status]]="Completed",0,fin_table[[#This Row],[Transaction Status]]="Pending",2)</f>
        <v>2</v>
      </c>
      <c r="AC641" s="3" t="str">
        <f>IF(fin_table[[#This Row],[Loan Defaulters]]=1,"Default", "Good")</f>
        <v>Good</v>
      </c>
      <c r="AD641" s="3">
        <f t="shared" si="68"/>
        <v>2</v>
      </c>
      <c r="AE641" s="4">
        <v>5539.22</v>
      </c>
      <c r="AF641" s="4" t="str">
        <f>IF(fin_table[[#This Row],[Monthly Income]]&lt;3000, "Low Income", IF(fin_table[[#This Row],[Monthly Income]]&lt;=5000, "Middle Income", "High Income"))</f>
        <v>High Income</v>
      </c>
      <c r="AG641" t="s">
        <v>63</v>
      </c>
      <c r="AH641" t="s">
        <v>3636</v>
      </c>
      <c r="AI641" t="str">
        <f t="shared" si="69"/>
        <v>Low-Risk</v>
      </c>
    </row>
    <row r="642" spans="1:35" x14ac:dyDescent="0.35">
      <c r="A642" t="s">
        <v>2393</v>
      </c>
      <c r="B642" t="s">
        <v>2394</v>
      </c>
      <c r="C642" t="s">
        <v>2395</v>
      </c>
      <c r="D642" s="1">
        <v>45136</v>
      </c>
      <c r="E642" s="1" t="str">
        <f t="shared" ref="E642:E705" si="70">TEXT(D642, "DD")</f>
        <v>29</v>
      </c>
      <c r="F642" s="1" t="str">
        <f t="shared" ref="F642:F705" si="71">TEXT(D642, "MMM")</f>
        <v>Jul</v>
      </c>
      <c r="G642" s="6" t="s">
        <v>71</v>
      </c>
      <c r="H642" s="5">
        <v>9073.57</v>
      </c>
      <c r="I642" s="5" t="str">
        <f>IF(fin_table[[#This Row],[Account Balance]]&lt;20000,"Active", "Not Active")</f>
        <v>Active</v>
      </c>
      <c r="J642" s="5">
        <v>18481.669999999998</v>
      </c>
      <c r="K642" s="5" t="str">
        <f t="shared" ref="K642:K705" si="72">IF(J642&lt;10000, "Low", IF(J642&lt;50000, "Medium", "High"))</f>
        <v>Medium</v>
      </c>
      <c r="L642" s="6" t="s">
        <v>100</v>
      </c>
      <c r="M642">
        <v>23</v>
      </c>
      <c r="N642" s="6" t="str">
        <f t="shared" ref="N642:N705" si="73">IF(M642&lt;18, "Teenagers", IF(M642&lt;=25, "Young Adults", IF(M642&lt;=35, "Adults", IF(M642&lt;=45, "Middle-Aged", IF(M642&lt;=60, "Older Adults", "Seniors")))))</f>
        <v>Young Adults</v>
      </c>
      <c r="O642" s="6" t="s">
        <v>42</v>
      </c>
      <c r="P642" s="6" t="s">
        <v>36</v>
      </c>
      <c r="Q642" t="s">
        <v>2396</v>
      </c>
      <c r="R642" s="6" t="s">
        <v>28</v>
      </c>
      <c r="S642" s="6" t="s">
        <v>44</v>
      </c>
      <c r="T642" s="14">
        <v>4.0300000000000002E-2</v>
      </c>
      <c r="U642">
        <v>4.03</v>
      </c>
      <c r="V642" t="str">
        <f>IF(fin_table[[#This Row],[Interest Rate(%)]]&gt;4,"high","low")</f>
        <v>high</v>
      </c>
      <c r="W642" s="5">
        <v>26681.654999999999</v>
      </c>
      <c r="X642" s="5">
        <f>fin_table[[#This Row],[Interest Rate]]*fin_table[[#This Row],[Loan Amount]]</f>
        <v>1075.2706965</v>
      </c>
      <c r="Y642">
        <v>13</v>
      </c>
      <c r="Z642" s="3">
        <v>321</v>
      </c>
      <c r="AA642" s="3" t="str">
        <f t="shared" ref="AA642:AA705" si="74">IF(Z642&lt;580, "Poor", IF(Z642&lt;670, "Fair", IF(Z642&lt;740, "Good", IF(Z642&lt;800, "Very Good", "Excellent"))))</f>
        <v>Poor</v>
      </c>
      <c r="AB642" s="3" cm="1">
        <f t="array" ref="AB642">_xlfn.IFS(fin_table[[#This Row],[Transaction Status]]="Failed", 1, fin_table[[#This Row],[Transaction Status]]="Completed",0,fin_table[[#This Row],[Transaction Status]]="Pending",2)</f>
        <v>0</v>
      </c>
      <c r="AC642" s="3" t="str">
        <f>IF(fin_table[[#This Row],[Loan Defaulters]]=1,"Default", "Good")</f>
        <v>Good</v>
      </c>
      <c r="AD642" s="3">
        <f t="shared" ref="AD642:AD705" si="75">IF(AA642="Poor", 1, IF(AA642="Fair", 2, IF(AA642="Good", 3, IF(AA642="Very Good", 4, IF(AA642="Excellent", 5, "")))))</f>
        <v>1</v>
      </c>
      <c r="AE642" s="4">
        <v>3051.31</v>
      </c>
      <c r="AF642" s="4" t="str">
        <f>IF(fin_table[[#This Row],[Monthly Income]]&lt;3000, "Low Income", IF(fin_table[[#This Row],[Monthly Income]]&lt;=5000, "Middle Income", "High Income"))</f>
        <v>Middle Income</v>
      </c>
      <c r="AG642" t="s">
        <v>30</v>
      </c>
      <c r="AH642" t="s">
        <v>3635</v>
      </c>
      <c r="AI642" t="str">
        <f t="shared" ref="AI642:AI705" si="76">IF(AND(W642&gt;33000, Z642&lt;600), "High-Risk", "Low-Risk")</f>
        <v>Low-Risk</v>
      </c>
    </row>
    <row r="643" spans="1:35" x14ac:dyDescent="0.35">
      <c r="A643" t="s">
        <v>2397</v>
      </c>
      <c r="B643" t="s">
        <v>2398</v>
      </c>
      <c r="C643" t="s">
        <v>2399</v>
      </c>
      <c r="D643" s="1">
        <v>45060</v>
      </c>
      <c r="E643" s="1" t="str">
        <f t="shared" si="70"/>
        <v>14</v>
      </c>
      <c r="F643" s="1" t="str">
        <f t="shared" si="71"/>
        <v>May</v>
      </c>
      <c r="G643" s="6" t="s">
        <v>23</v>
      </c>
      <c r="H643" s="5">
        <v>1722.42</v>
      </c>
      <c r="I643" s="5" t="str">
        <f>IF(fin_table[[#This Row],[Account Balance]]&lt;20000,"Active", "Not Active")</f>
        <v>Not Active</v>
      </c>
      <c r="J643" s="5">
        <v>38115.760000000002</v>
      </c>
      <c r="K643" s="5" t="str">
        <f t="shared" si="72"/>
        <v>Medium</v>
      </c>
      <c r="L643" s="6" t="s">
        <v>49</v>
      </c>
      <c r="M643">
        <v>46</v>
      </c>
      <c r="N643" s="6" t="str">
        <f t="shared" si="73"/>
        <v>Older Adults</v>
      </c>
      <c r="O643" s="6" t="s">
        <v>42</v>
      </c>
      <c r="P643" s="6" t="s">
        <v>36</v>
      </c>
      <c r="Q643" t="s">
        <v>2400</v>
      </c>
      <c r="R643" s="6" t="s">
        <v>38</v>
      </c>
      <c r="S643" s="6" t="s">
        <v>44</v>
      </c>
      <c r="T643" s="14">
        <v>1.89E-2</v>
      </c>
      <c r="U643">
        <v>1.89</v>
      </c>
      <c r="V643" t="str">
        <f>IF(fin_table[[#This Row],[Interest Rate(%)]]&gt;4,"high","low")</f>
        <v>low</v>
      </c>
      <c r="W643" s="5">
        <v>26681.654999999999</v>
      </c>
      <c r="X643" s="5">
        <f>fin_table[[#This Row],[Interest Rate]]*fin_table[[#This Row],[Loan Amount]]</f>
        <v>504.28327949999999</v>
      </c>
      <c r="Y643">
        <v>13</v>
      </c>
      <c r="Z643" s="3">
        <v>465</v>
      </c>
      <c r="AA643" s="3" t="str">
        <f t="shared" si="74"/>
        <v>Poor</v>
      </c>
      <c r="AB643" s="3" cm="1">
        <f t="array" ref="AB643">_xlfn.IFS(fin_table[[#This Row],[Transaction Status]]="Failed", 1, fin_table[[#This Row],[Transaction Status]]="Completed",0,fin_table[[#This Row],[Transaction Status]]="Pending",2)</f>
        <v>0</v>
      </c>
      <c r="AC643" s="3" t="str">
        <f>IF(fin_table[[#This Row],[Loan Defaulters]]=1,"Default", "Good")</f>
        <v>Good</v>
      </c>
      <c r="AD643" s="3">
        <f t="shared" si="75"/>
        <v>1</v>
      </c>
      <c r="AE643" s="4">
        <v>10538.69</v>
      </c>
      <c r="AF643" s="4" t="str">
        <f>IF(fin_table[[#This Row],[Monthly Income]]&lt;3000, "Low Income", IF(fin_table[[#This Row],[Monthly Income]]&lt;=5000, "Middle Income", "High Income"))</f>
        <v>High Income</v>
      </c>
      <c r="AG643" t="s">
        <v>63</v>
      </c>
      <c r="AH643" t="s">
        <v>3635</v>
      </c>
      <c r="AI643" t="str">
        <f t="shared" si="76"/>
        <v>Low-Risk</v>
      </c>
    </row>
    <row r="644" spans="1:35" x14ac:dyDescent="0.35">
      <c r="A644" t="s">
        <v>2401</v>
      </c>
      <c r="B644" t="s">
        <v>2402</v>
      </c>
      <c r="C644" t="s">
        <v>2403</v>
      </c>
      <c r="D644" s="1">
        <v>44864</v>
      </c>
      <c r="E644" s="1" t="str">
        <f t="shared" si="70"/>
        <v>30</v>
      </c>
      <c r="F644" s="1" t="str">
        <f t="shared" si="71"/>
        <v>Oct</v>
      </c>
      <c r="G644" s="6" t="s">
        <v>34</v>
      </c>
      <c r="H644" s="5">
        <v>6463.91</v>
      </c>
      <c r="I644" s="5" t="str">
        <f>IF(fin_table[[#This Row],[Account Balance]]&lt;20000,"Active", "Not Active")</f>
        <v>Active</v>
      </c>
      <c r="J644" s="5">
        <v>15458.55</v>
      </c>
      <c r="K644" s="5" t="str">
        <f t="shared" si="72"/>
        <v>Medium</v>
      </c>
      <c r="L644" s="6" t="s">
        <v>35</v>
      </c>
      <c r="M644">
        <v>36</v>
      </c>
      <c r="N644" s="6" t="str">
        <f t="shared" si="73"/>
        <v>Middle-Aged</v>
      </c>
      <c r="O644" s="6" t="s">
        <v>25</v>
      </c>
      <c r="P644" s="6" t="s">
        <v>26</v>
      </c>
      <c r="Q644" t="s">
        <v>1852</v>
      </c>
      <c r="R644" s="6" t="s">
        <v>38</v>
      </c>
      <c r="S644" s="6" t="s">
        <v>29</v>
      </c>
      <c r="T644" s="14">
        <v>1.2200000000000001E-2</v>
      </c>
      <c r="U644">
        <v>1.22</v>
      </c>
      <c r="V644" t="str">
        <f>IF(fin_table[[#This Row],[Interest Rate(%)]]&gt;4,"high","low")</f>
        <v>low</v>
      </c>
      <c r="W644" s="5">
        <v>26681.654999999999</v>
      </c>
      <c r="X644" s="5">
        <f>fin_table[[#This Row],[Interest Rate]]*fin_table[[#This Row],[Loan Amount]]</f>
        <v>325.51619099999999</v>
      </c>
      <c r="Y644">
        <v>13</v>
      </c>
      <c r="Z644" s="3">
        <v>609</v>
      </c>
      <c r="AA644" s="3" t="str">
        <f t="shared" si="74"/>
        <v>Fair</v>
      </c>
      <c r="AB644" s="3" cm="1">
        <f t="array" ref="AB644">_xlfn.IFS(fin_table[[#This Row],[Transaction Status]]="Failed", 1, fin_table[[#This Row],[Transaction Status]]="Completed",0,fin_table[[#This Row],[Transaction Status]]="Pending",2)</f>
        <v>1</v>
      </c>
      <c r="AC644" s="3" t="str">
        <f>IF(fin_table[[#This Row],[Loan Defaulters]]=1,"Default", "Good")</f>
        <v>Default</v>
      </c>
      <c r="AD644" s="3">
        <f t="shared" si="75"/>
        <v>2</v>
      </c>
      <c r="AE644" s="4">
        <v>10499.46</v>
      </c>
      <c r="AF644" s="4" t="str">
        <f>IF(fin_table[[#This Row],[Monthly Income]]&lt;3000, "Low Income", IF(fin_table[[#This Row],[Monthly Income]]&lt;=5000, "Middle Income", "High Income"))</f>
        <v>High Income</v>
      </c>
      <c r="AG644" t="s">
        <v>45</v>
      </c>
      <c r="AH644" t="s">
        <v>3635</v>
      </c>
      <c r="AI644" t="str">
        <f t="shared" si="76"/>
        <v>Low-Risk</v>
      </c>
    </row>
    <row r="645" spans="1:35" x14ac:dyDescent="0.35">
      <c r="A645" t="s">
        <v>2404</v>
      </c>
      <c r="B645" t="s">
        <v>2405</v>
      </c>
      <c r="C645" t="s">
        <v>2406</v>
      </c>
      <c r="D645" s="1">
        <v>44743</v>
      </c>
      <c r="E645" s="1" t="str">
        <f t="shared" si="70"/>
        <v>01</v>
      </c>
      <c r="F645" s="1" t="str">
        <f t="shared" si="71"/>
        <v>Jul</v>
      </c>
      <c r="G645" s="6" t="s">
        <v>56</v>
      </c>
      <c r="H645" s="5">
        <v>8117.62</v>
      </c>
      <c r="I645" s="5" t="str">
        <f>IF(fin_table[[#This Row],[Account Balance]]&lt;20000,"Active", "Not Active")</f>
        <v>Active</v>
      </c>
      <c r="J645" s="5">
        <v>15644</v>
      </c>
      <c r="K645" s="5" t="str">
        <f t="shared" si="72"/>
        <v>Medium</v>
      </c>
      <c r="L645" s="6" t="s">
        <v>100</v>
      </c>
      <c r="M645">
        <v>50</v>
      </c>
      <c r="N645" s="6" t="str">
        <f t="shared" si="73"/>
        <v>Older Adults</v>
      </c>
      <c r="O645" s="6" t="s">
        <v>42</v>
      </c>
      <c r="P645" s="6" t="s">
        <v>36</v>
      </c>
      <c r="Q645" t="s">
        <v>2407</v>
      </c>
      <c r="R645" s="6" t="s">
        <v>52</v>
      </c>
      <c r="S645" s="6" t="s">
        <v>29</v>
      </c>
      <c r="T645" s="14">
        <v>4.19E-2</v>
      </c>
      <c r="U645">
        <v>4.1900000000000004</v>
      </c>
      <c r="V645" t="str">
        <f>IF(fin_table[[#This Row],[Interest Rate(%)]]&gt;4,"high","low")</f>
        <v>high</v>
      </c>
      <c r="W645" s="5">
        <v>43545.57</v>
      </c>
      <c r="X645" s="5">
        <f>fin_table[[#This Row],[Interest Rate]]*fin_table[[#This Row],[Loan Amount]]</f>
        <v>1824.559383</v>
      </c>
      <c r="Y645">
        <v>16</v>
      </c>
      <c r="Z645" s="3">
        <v>776</v>
      </c>
      <c r="AA645" s="3" t="str">
        <f t="shared" si="74"/>
        <v>Very Good</v>
      </c>
      <c r="AB645" s="3" cm="1">
        <f t="array" ref="AB645">_xlfn.IFS(fin_table[[#This Row],[Transaction Status]]="Failed", 1, fin_table[[#This Row],[Transaction Status]]="Completed",0,fin_table[[#This Row],[Transaction Status]]="Pending",2)</f>
        <v>1</v>
      </c>
      <c r="AC645" s="3" t="str">
        <f>IF(fin_table[[#This Row],[Loan Defaulters]]=1,"Default", "Good")</f>
        <v>Default</v>
      </c>
      <c r="AD645" s="3">
        <f t="shared" si="75"/>
        <v>4</v>
      </c>
      <c r="AE645" s="4">
        <v>3234.12</v>
      </c>
      <c r="AF645" s="4" t="str">
        <f>IF(fin_table[[#This Row],[Monthly Income]]&lt;3000, "Low Income", IF(fin_table[[#This Row],[Monthly Income]]&lt;=5000, "Middle Income", "High Income"))</f>
        <v>Middle Income</v>
      </c>
      <c r="AG645" t="s">
        <v>63</v>
      </c>
      <c r="AH645" t="s">
        <v>3636</v>
      </c>
      <c r="AI645" t="str">
        <f t="shared" si="76"/>
        <v>Low-Risk</v>
      </c>
    </row>
    <row r="646" spans="1:35" x14ac:dyDescent="0.35">
      <c r="A646" t="s">
        <v>2408</v>
      </c>
      <c r="B646" t="s">
        <v>2409</v>
      </c>
      <c r="C646" t="s">
        <v>2410</v>
      </c>
      <c r="D646" s="1">
        <v>45132</v>
      </c>
      <c r="E646" s="1" t="str">
        <f t="shared" si="70"/>
        <v>25</v>
      </c>
      <c r="F646" s="1" t="str">
        <f t="shared" si="71"/>
        <v>Jul</v>
      </c>
      <c r="G646" s="6" t="s">
        <v>23</v>
      </c>
      <c r="H646" s="5">
        <v>9479.2099999999991</v>
      </c>
      <c r="I646" s="5" t="str">
        <f>IF(fin_table[[#This Row],[Account Balance]]&lt;20000,"Active", "Not Active")</f>
        <v>Active</v>
      </c>
      <c r="J646" s="5">
        <v>6245.8</v>
      </c>
      <c r="K646" s="5" t="str">
        <f t="shared" si="72"/>
        <v>Low</v>
      </c>
      <c r="L646" s="6" t="s">
        <v>100</v>
      </c>
      <c r="M646">
        <v>18</v>
      </c>
      <c r="N646" s="6" t="str">
        <f t="shared" si="73"/>
        <v>Young Adults</v>
      </c>
      <c r="O646" s="6" t="s">
        <v>25</v>
      </c>
      <c r="P646" s="6" t="s">
        <v>26</v>
      </c>
      <c r="Q646" t="s">
        <v>1318</v>
      </c>
      <c r="R646" s="6" t="s">
        <v>28</v>
      </c>
      <c r="S646" s="6" t="s">
        <v>62</v>
      </c>
      <c r="T646" s="14">
        <v>1.6199999999999999E-2</v>
      </c>
      <c r="U646">
        <v>1.62</v>
      </c>
      <c r="V646" t="str">
        <f>IF(fin_table[[#This Row],[Interest Rate(%)]]&gt;4,"high","low")</f>
        <v>low</v>
      </c>
      <c r="W646" s="5">
        <v>26681.654999999999</v>
      </c>
      <c r="X646" s="5">
        <f>fin_table[[#This Row],[Interest Rate]]*fin_table[[#This Row],[Loan Amount]]</f>
        <v>432.24281099999996</v>
      </c>
      <c r="Y646">
        <v>29</v>
      </c>
      <c r="Z646" s="3">
        <v>797</v>
      </c>
      <c r="AA646" s="3" t="str">
        <f t="shared" si="74"/>
        <v>Very Good</v>
      </c>
      <c r="AB646" s="3" cm="1">
        <f t="array" ref="AB646">_xlfn.IFS(fin_table[[#This Row],[Transaction Status]]="Failed", 1, fin_table[[#This Row],[Transaction Status]]="Completed",0,fin_table[[#This Row],[Transaction Status]]="Pending",2)</f>
        <v>2</v>
      </c>
      <c r="AC646" s="3" t="str">
        <f>IF(fin_table[[#This Row],[Loan Defaulters]]=1,"Default", "Good")</f>
        <v>Good</v>
      </c>
      <c r="AD646" s="3">
        <f t="shared" si="75"/>
        <v>4</v>
      </c>
      <c r="AE646" s="4">
        <v>6145.07</v>
      </c>
      <c r="AF646" s="4" t="str">
        <f>IF(fin_table[[#This Row],[Monthly Income]]&lt;3000, "Low Income", IF(fin_table[[#This Row],[Monthly Income]]&lt;=5000, "Middle Income", "High Income"))</f>
        <v>High Income</v>
      </c>
      <c r="AG646" t="s">
        <v>30</v>
      </c>
      <c r="AH646" t="s">
        <v>3635</v>
      </c>
      <c r="AI646" t="str">
        <f t="shared" si="76"/>
        <v>Low-Risk</v>
      </c>
    </row>
    <row r="647" spans="1:35" x14ac:dyDescent="0.35">
      <c r="A647" t="s">
        <v>2411</v>
      </c>
      <c r="B647" t="s">
        <v>2412</v>
      </c>
      <c r="C647" t="s">
        <v>2413</v>
      </c>
      <c r="D647" s="1">
        <v>44645</v>
      </c>
      <c r="E647" s="1" t="str">
        <f t="shared" si="70"/>
        <v>25</v>
      </c>
      <c r="F647" s="1" t="str">
        <f t="shared" si="71"/>
        <v>Mar</v>
      </c>
      <c r="G647" s="6" t="s">
        <v>23</v>
      </c>
      <c r="H647" s="5">
        <v>3439.67</v>
      </c>
      <c r="I647" s="5" t="str">
        <f>IF(fin_table[[#This Row],[Account Balance]]&lt;20000,"Active", "Not Active")</f>
        <v>Not Active</v>
      </c>
      <c r="J647" s="5">
        <v>22562.84</v>
      </c>
      <c r="K647" s="5" t="str">
        <f t="shared" si="72"/>
        <v>Medium</v>
      </c>
      <c r="L647" s="6" t="s">
        <v>125</v>
      </c>
      <c r="M647">
        <v>62</v>
      </c>
      <c r="N647" s="6" t="str">
        <f t="shared" si="73"/>
        <v>Seniors</v>
      </c>
      <c r="O647" s="6" t="s">
        <v>42</v>
      </c>
      <c r="P647" s="6" t="s">
        <v>26</v>
      </c>
      <c r="Q647" t="s">
        <v>2414</v>
      </c>
      <c r="R647" s="6" t="s">
        <v>52</v>
      </c>
      <c r="S647" s="6" t="s">
        <v>29</v>
      </c>
      <c r="T647" s="14">
        <v>3.5000000000000003E-2</v>
      </c>
      <c r="U647">
        <v>3.5000000000000003E-2</v>
      </c>
      <c r="V647" t="str">
        <f>IF(fin_table[[#This Row],[Interest Rate(%)]]&gt;4,"high","low")</f>
        <v>low</v>
      </c>
      <c r="W647" s="5">
        <v>40244.97</v>
      </c>
      <c r="X647" s="5">
        <f>fin_table[[#This Row],[Interest Rate]]*fin_table[[#This Row],[Loan Amount]]</f>
        <v>1408.5739500000002</v>
      </c>
      <c r="Y647">
        <v>11</v>
      </c>
      <c r="Z647" s="3">
        <v>733</v>
      </c>
      <c r="AA647" s="3" t="str">
        <f t="shared" si="74"/>
        <v>Good</v>
      </c>
      <c r="AB647" s="3" cm="1">
        <f t="array" ref="AB647">_xlfn.IFS(fin_table[[#This Row],[Transaction Status]]="Failed", 1, fin_table[[#This Row],[Transaction Status]]="Completed",0,fin_table[[#This Row],[Transaction Status]]="Pending",2)</f>
        <v>1</v>
      </c>
      <c r="AC647" s="3" t="str">
        <f>IF(fin_table[[#This Row],[Loan Defaulters]]=1,"Default", "Good")</f>
        <v>Default</v>
      </c>
      <c r="AD647" s="3">
        <f t="shared" si="75"/>
        <v>3</v>
      </c>
      <c r="AE647" s="4">
        <v>14906.59</v>
      </c>
      <c r="AF647" s="4" t="str">
        <f>IF(fin_table[[#This Row],[Monthly Income]]&lt;3000, "Low Income", IF(fin_table[[#This Row],[Monthly Income]]&lt;=5000, "Middle Income", "High Income"))</f>
        <v>High Income</v>
      </c>
      <c r="AG647" t="s">
        <v>45</v>
      </c>
      <c r="AH647" t="s">
        <v>3636</v>
      </c>
      <c r="AI647" t="str">
        <f t="shared" si="76"/>
        <v>Low-Risk</v>
      </c>
    </row>
    <row r="648" spans="1:35" x14ac:dyDescent="0.35">
      <c r="A648" t="s">
        <v>2415</v>
      </c>
      <c r="B648" t="s">
        <v>2416</v>
      </c>
      <c r="C648" t="s">
        <v>2417</v>
      </c>
      <c r="D648" s="1">
        <v>44886</v>
      </c>
      <c r="E648" s="1" t="str">
        <f t="shared" si="70"/>
        <v>21</v>
      </c>
      <c r="F648" s="1" t="str">
        <f t="shared" si="71"/>
        <v>Nov</v>
      </c>
      <c r="G648" s="6" t="s">
        <v>23</v>
      </c>
      <c r="H648" s="5">
        <v>7277.31</v>
      </c>
      <c r="I648" s="5" t="str">
        <f>IF(fin_table[[#This Row],[Account Balance]]&lt;20000,"Active", "Not Active")</f>
        <v>Not Active</v>
      </c>
      <c r="J648" s="5">
        <v>36755.879999999997</v>
      </c>
      <c r="K648" s="5" t="str">
        <f t="shared" si="72"/>
        <v>Medium</v>
      </c>
      <c r="L648" s="6" t="s">
        <v>49</v>
      </c>
      <c r="M648">
        <v>20</v>
      </c>
      <c r="N648" s="6" t="str">
        <f t="shared" si="73"/>
        <v>Young Adults</v>
      </c>
      <c r="O648" s="6" t="s">
        <v>42</v>
      </c>
      <c r="P648" s="6" t="s">
        <v>36</v>
      </c>
      <c r="Q648" t="s">
        <v>2418</v>
      </c>
      <c r="R648" s="6" t="s">
        <v>52</v>
      </c>
      <c r="S648" s="6" t="s">
        <v>62</v>
      </c>
      <c r="T648" s="14">
        <v>2.35E-2</v>
      </c>
      <c r="U648">
        <v>2.35</v>
      </c>
      <c r="V648" t="str">
        <f>IF(fin_table[[#This Row],[Interest Rate(%)]]&gt;4,"high","low")</f>
        <v>low</v>
      </c>
      <c r="W648" s="5">
        <v>26681.654999999999</v>
      </c>
      <c r="X648" s="5">
        <f>fin_table[[#This Row],[Interest Rate]]*fin_table[[#This Row],[Loan Amount]]</f>
        <v>627.01889249999999</v>
      </c>
      <c r="Y648">
        <v>16</v>
      </c>
      <c r="Z648" s="3">
        <v>533</v>
      </c>
      <c r="AA648" s="3" t="str">
        <f t="shared" si="74"/>
        <v>Poor</v>
      </c>
      <c r="AB648" s="3" cm="1">
        <f t="array" ref="AB648">_xlfn.IFS(fin_table[[#This Row],[Transaction Status]]="Failed", 1, fin_table[[#This Row],[Transaction Status]]="Completed",0,fin_table[[#This Row],[Transaction Status]]="Pending",2)</f>
        <v>2</v>
      </c>
      <c r="AC648" s="3" t="str">
        <f>IF(fin_table[[#This Row],[Loan Defaulters]]=1,"Default", "Good")</f>
        <v>Good</v>
      </c>
      <c r="AD648" s="3">
        <f t="shared" si="75"/>
        <v>1</v>
      </c>
      <c r="AE648" s="4">
        <v>10819.55</v>
      </c>
      <c r="AF648" s="4" t="str">
        <f>IF(fin_table[[#This Row],[Monthly Income]]&lt;3000, "Low Income", IF(fin_table[[#This Row],[Monthly Income]]&lt;=5000, "Middle Income", "High Income"))</f>
        <v>High Income</v>
      </c>
      <c r="AG648" t="s">
        <v>45</v>
      </c>
      <c r="AH648" t="s">
        <v>3635</v>
      </c>
      <c r="AI648" t="str">
        <f t="shared" si="76"/>
        <v>Low-Risk</v>
      </c>
    </row>
    <row r="649" spans="1:35" x14ac:dyDescent="0.35">
      <c r="A649" t="s">
        <v>2419</v>
      </c>
      <c r="B649" t="s">
        <v>2420</v>
      </c>
      <c r="C649" t="s">
        <v>2421</v>
      </c>
      <c r="D649" s="1">
        <v>44573</v>
      </c>
      <c r="E649" s="1" t="str">
        <f t="shared" si="70"/>
        <v>12</v>
      </c>
      <c r="F649" s="1" t="str">
        <f t="shared" si="71"/>
        <v>Jan</v>
      </c>
      <c r="G649" s="6" t="s">
        <v>34</v>
      </c>
      <c r="H649" s="5">
        <v>5434.25</v>
      </c>
      <c r="I649" s="5" t="str">
        <f>IF(fin_table[[#This Row],[Account Balance]]&lt;20000,"Active", "Not Active")</f>
        <v>Not Active</v>
      </c>
      <c r="J649" s="5">
        <v>47070.82</v>
      </c>
      <c r="K649" s="5" t="str">
        <f t="shared" si="72"/>
        <v>Medium</v>
      </c>
      <c r="L649" s="6" t="s">
        <v>125</v>
      </c>
      <c r="M649">
        <v>59</v>
      </c>
      <c r="N649" s="6" t="str">
        <f t="shared" si="73"/>
        <v>Older Adults</v>
      </c>
      <c r="O649" s="6" t="s">
        <v>42</v>
      </c>
      <c r="P649" s="6" t="s">
        <v>50</v>
      </c>
      <c r="Q649" t="s">
        <v>2422</v>
      </c>
      <c r="R649" s="6" t="s">
        <v>28</v>
      </c>
      <c r="S649" s="6" t="s">
        <v>44</v>
      </c>
      <c r="T649" s="14">
        <v>1.5100000000000001E-2</v>
      </c>
      <c r="U649">
        <v>1.51</v>
      </c>
      <c r="V649" t="str">
        <f>IF(fin_table[[#This Row],[Interest Rate(%)]]&gt;4,"high","low")</f>
        <v>low</v>
      </c>
      <c r="W649" s="5">
        <v>26681.654999999999</v>
      </c>
      <c r="X649" s="5">
        <f>fin_table[[#This Row],[Interest Rate]]*fin_table[[#This Row],[Loan Amount]]</f>
        <v>402.8929905</v>
      </c>
      <c r="Y649">
        <v>13</v>
      </c>
      <c r="Z649" s="3">
        <v>675</v>
      </c>
      <c r="AA649" s="3" t="str">
        <f t="shared" si="74"/>
        <v>Good</v>
      </c>
      <c r="AB649" s="3" cm="1">
        <f t="array" ref="AB649">_xlfn.IFS(fin_table[[#This Row],[Transaction Status]]="Failed", 1, fin_table[[#This Row],[Transaction Status]]="Completed",0,fin_table[[#This Row],[Transaction Status]]="Pending",2)</f>
        <v>0</v>
      </c>
      <c r="AC649" s="3" t="str">
        <f>IF(fin_table[[#This Row],[Loan Defaulters]]=1,"Default", "Good")</f>
        <v>Good</v>
      </c>
      <c r="AD649" s="3">
        <f t="shared" si="75"/>
        <v>3</v>
      </c>
      <c r="AE649" s="4">
        <v>11490.98</v>
      </c>
      <c r="AF649" s="4" t="str">
        <f>IF(fin_table[[#This Row],[Monthly Income]]&lt;3000, "Low Income", IF(fin_table[[#This Row],[Monthly Income]]&lt;=5000, "Middle Income", "High Income"))</f>
        <v>High Income</v>
      </c>
      <c r="AG649" t="s">
        <v>63</v>
      </c>
      <c r="AH649" t="s">
        <v>3635</v>
      </c>
      <c r="AI649" t="str">
        <f t="shared" si="76"/>
        <v>Low-Risk</v>
      </c>
    </row>
    <row r="650" spans="1:35" x14ac:dyDescent="0.35">
      <c r="A650" t="s">
        <v>2423</v>
      </c>
      <c r="B650" t="s">
        <v>2424</v>
      </c>
      <c r="C650" t="s">
        <v>2425</v>
      </c>
      <c r="D650" s="1">
        <v>44745</v>
      </c>
      <c r="E650" s="1" t="str">
        <f t="shared" si="70"/>
        <v>03</v>
      </c>
      <c r="F650" s="1" t="str">
        <f t="shared" si="71"/>
        <v>Jul</v>
      </c>
      <c r="G650" s="6" t="s">
        <v>23</v>
      </c>
      <c r="H650" s="5">
        <v>700.23</v>
      </c>
      <c r="I650" s="5" t="str">
        <f>IF(fin_table[[#This Row],[Account Balance]]&lt;20000,"Active", "Not Active")</f>
        <v>Not Active</v>
      </c>
      <c r="J650" s="5">
        <v>30586.05</v>
      </c>
      <c r="K650" s="5" t="str">
        <f t="shared" si="72"/>
        <v>Medium</v>
      </c>
      <c r="L650" s="6" t="s">
        <v>49</v>
      </c>
      <c r="M650">
        <v>38</v>
      </c>
      <c r="N650" s="6" t="str">
        <f t="shared" si="73"/>
        <v>Middle-Aged</v>
      </c>
      <c r="O650" s="6" t="s">
        <v>25</v>
      </c>
      <c r="P650" s="6" t="s">
        <v>26</v>
      </c>
      <c r="Q650" t="s">
        <v>2277</v>
      </c>
      <c r="R650" s="6" t="s">
        <v>52</v>
      </c>
      <c r="S650" s="6" t="s">
        <v>62</v>
      </c>
      <c r="T650" s="14">
        <v>2.6599999999999999E-2</v>
      </c>
      <c r="U650">
        <v>2.66</v>
      </c>
      <c r="V650" t="str">
        <f>IF(fin_table[[#This Row],[Interest Rate(%)]]&gt;4,"high","low")</f>
        <v>low</v>
      </c>
      <c r="W650" s="5">
        <v>26681.654999999999</v>
      </c>
      <c r="X650" s="5">
        <f>fin_table[[#This Row],[Interest Rate]]*fin_table[[#This Row],[Loan Amount]]</f>
        <v>709.73202299999991</v>
      </c>
      <c r="Y650">
        <v>3</v>
      </c>
      <c r="Z650" s="3">
        <v>545</v>
      </c>
      <c r="AA650" s="3" t="str">
        <f t="shared" si="74"/>
        <v>Poor</v>
      </c>
      <c r="AB650" s="3" cm="1">
        <f t="array" ref="AB650">_xlfn.IFS(fin_table[[#This Row],[Transaction Status]]="Failed", 1, fin_table[[#This Row],[Transaction Status]]="Completed",0,fin_table[[#This Row],[Transaction Status]]="Pending",2)</f>
        <v>2</v>
      </c>
      <c r="AC650" s="3" t="str">
        <f>IF(fin_table[[#This Row],[Loan Defaulters]]=1,"Default", "Good")</f>
        <v>Good</v>
      </c>
      <c r="AD650" s="3">
        <f t="shared" si="75"/>
        <v>1</v>
      </c>
      <c r="AE650" s="4">
        <v>4767.92</v>
      </c>
      <c r="AF650" s="4" t="str">
        <f>IF(fin_table[[#This Row],[Monthly Income]]&lt;3000, "Low Income", IF(fin_table[[#This Row],[Monthly Income]]&lt;=5000, "Middle Income", "High Income"))</f>
        <v>Middle Income</v>
      </c>
      <c r="AG650" t="s">
        <v>63</v>
      </c>
      <c r="AH650" t="s">
        <v>3635</v>
      </c>
      <c r="AI650" t="str">
        <f t="shared" si="76"/>
        <v>Low-Risk</v>
      </c>
    </row>
    <row r="651" spans="1:35" x14ac:dyDescent="0.35">
      <c r="A651" t="s">
        <v>2426</v>
      </c>
      <c r="B651" t="s">
        <v>2427</v>
      </c>
      <c r="C651" t="s">
        <v>2428</v>
      </c>
      <c r="D651" s="1">
        <v>44750</v>
      </c>
      <c r="E651" s="1" t="str">
        <f t="shared" si="70"/>
        <v>08</v>
      </c>
      <c r="F651" s="1" t="str">
        <f t="shared" si="71"/>
        <v>Jul</v>
      </c>
      <c r="G651" s="6" t="s">
        <v>34</v>
      </c>
      <c r="H651" s="5">
        <v>6931</v>
      </c>
      <c r="I651" s="5" t="str">
        <f>IF(fin_table[[#This Row],[Account Balance]]&lt;20000,"Active", "Not Active")</f>
        <v>Not Active</v>
      </c>
      <c r="J651" s="5">
        <v>43293.64</v>
      </c>
      <c r="K651" s="5" t="str">
        <f t="shared" si="72"/>
        <v>Medium</v>
      </c>
      <c r="L651" s="6" t="s">
        <v>24</v>
      </c>
      <c r="M651">
        <v>52</v>
      </c>
      <c r="N651" s="6" t="str">
        <f t="shared" si="73"/>
        <v>Older Adults</v>
      </c>
      <c r="O651" s="6" t="s">
        <v>25</v>
      </c>
      <c r="P651" s="6" t="s">
        <v>36</v>
      </c>
      <c r="Q651" t="s">
        <v>2429</v>
      </c>
      <c r="R651" s="6" t="s">
        <v>38</v>
      </c>
      <c r="S651" s="6" t="s">
        <v>29</v>
      </c>
      <c r="T651" s="14">
        <v>1.06E-2</v>
      </c>
      <c r="U651">
        <v>1.06</v>
      </c>
      <c r="V651" t="str">
        <f>IF(fin_table[[#This Row],[Interest Rate(%)]]&gt;4,"high","low")</f>
        <v>low</v>
      </c>
      <c r="W651" s="5">
        <v>26681.654999999999</v>
      </c>
      <c r="X651" s="5">
        <f>fin_table[[#This Row],[Interest Rate]]*fin_table[[#This Row],[Loan Amount]]</f>
        <v>282.82554299999998</v>
      </c>
      <c r="Y651">
        <v>21</v>
      </c>
      <c r="Z651" s="3">
        <v>602</v>
      </c>
      <c r="AA651" s="3" t="str">
        <f t="shared" si="74"/>
        <v>Fair</v>
      </c>
      <c r="AB651" s="3" cm="1">
        <f t="array" ref="AB651">_xlfn.IFS(fin_table[[#This Row],[Transaction Status]]="Failed", 1, fin_table[[#This Row],[Transaction Status]]="Completed",0,fin_table[[#This Row],[Transaction Status]]="Pending",2)</f>
        <v>1</v>
      </c>
      <c r="AC651" s="3" t="str">
        <f>IF(fin_table[[#This Row],[Loan Defaulters]]=1,"Default", "Good")</f>
        <v>Default</v>
      </c>
      <c r="AD651" s="3">
        <f t="shared" si="75"/>
        <v>2</v>
      </c>
      <c r="AE651" s="4">
        <v>3024.17</v>
      </c>
      <c r="AF651" s="4" t="str">
        <f>IF(fin_table[[#This Row],[Monthly Income]]&lt;3000, "Low Income", IF(fin_table[[#This Row],[Monthly Income]]&lt;=5000, "Middle Income", "High Income"))</f>
        <v>Middle Income</v>
      </c>
      <c r="AG651" t="s">
        <v>45</v>
      </c>
      <c r="AH651" t="s">
        <v>3635</v>
      </c>
      <c r="AI651" t="str">
        <f t="shared" si="76"/>
        <v>Low-Risk</v>
      </c>
    </row>
    <row r="652" spans="1:35" x14ac:dyDescent="0.35">
      <c r="A652" t="s">
        <v>2430</v>
      </c>
      <c r="B652" t="s">
        <v>2431</v>
      </c>
      <c r="C652" t="s">
        <v>2432</v>
      </c>
      <c r="D652" s="1">
        <v>44779</v>
      </c>
      <c r="E652" s="1" t="str">
        <f t="shared" si="70"/>
        <v>06</v>
      </c>
      <c r="F652" s="1" t="str">
        <f t="shared" si="71"/>
        <v>Aug</v>
      </c>
      <c r="G652" s="6" t="s">
        <v>34</v>
      </c>
      <c r="H652" s="5">
        <v>6931.96</v>
      </c>
      <c r="I652" s="5" t="str">
        <f>IF(fin_table[[#This Row],[Account Balance]]&lt;20000,"Active", "Not Active")</f>
        <v>Not Active</v>
      </c>
      <c r="J652" s="5">
        <v>41302.239999999998</v>
      </c>
      <c r="K652" s="5" t="str">
        <f t="shared" si="72"/>
        <v>Medium</v>
      </c>
      <c r="L652" s="6" t="s">
        <v>125</v>
      </c>
      <c r="M652">
        <v>58</v>
      </c>
      <c r="N652" s="6" t="str">
        <f t="shared" si="73"/>
        <v>Older Adults</v>
      </c>
      <c r="O652" s="6" t="s">
        <v>42</v>
      </c>
      <c r="P652" s="6" t="s">
        <v>26</v>
      </c>
      <c r="Q652" t="s">
        <v>2433</v>
      </c>
      <c r="R652" s="6" t="s">
        <v>38</v>
      </c>
      <c r="S652" s="6" t="s">
        <v>44</v>
      </c>
      <c r="T652" s="14">
        <v>4.36E-2</v>
      </c>
      <c r="U652">
        <v>4.3600000000000003</v>
      </c>
      <c r="V652" t="str">
        <f>IF(fin_table[[#This Row],[Interest Rate(%)]]&gt;4,"high","low")</f>
        <v>high</v>
      </c>
      <c r="W652" s="5">
        <v>26681.654999999999</v>
      </c>
      <c r="X652" s="5">
        <f>fin_table[[#This Row],[Interest Rate]]*fin_table[[#This Row],[Loan Amount]]</f>
        <v>1163.320158</v>
      </c>
      <c r="Y652">
        <v>2</v>
      </c>
      <c r="Z652" s="3">
        <v>704</v>
      </c>
      <c r="AA652" s="3" t="str">
        <f t="shared" si="74"/>
        <v>Good</v>
      </c>
      <c r="AB652" s="3" cm="1">
        <f t="array" ref="AB652">_xlfn.IFS(fin_table[[#This Row],[Transaction Status]]="Failed", 1, fin_table[[#This Row],[Transaction Status]]="Completed",0,fin_table[[#This Row],[Transaction Status]]="Pending",2)</f>
        <v>0</v>
      </c>
      <c r="AC652" s="3" t="str">
        <f>IF(fin_table[[#This Row],[Loan Defaulters]]=1,"Default", "Good")</f>
        <v>Good</v>
      </c>
      <c r="AD652" s="3">
        <f t="shared" si="75"/>
        <v>3</v>
      </c>
      <c r="AE652" s="4">
        <v>5599.72</v>
      </c>
      <c r="AF652" s="4" t="str">
        <f>IF(fin_table[[#This Row],[Monthly Income]]&lt;3000, "Low Income", IF(fin_table[[#This Row],[Monthly Income]]&lt;=5000, "Middle Income", "High Income"))</f>
        <v>High Income</v>
      </c>
      <c r="AG652" t="s">
        <v>63</v>
      </c>
      <c r="AH652" t="s">
        <v>3635</v>
      </c>
      <c r="AI652" t="str">
        <f t="shared" si="76"/>
        <v>Low-Risk</v>
      </c>
    </row>
    <row r="653" spans="1:35" x14ac:dyDescent="0.35">
      <c r="A653" t="s">
        <v>2434</v>
      </c>
      <c r="B653" t="s">
        <v>2435</v>
      </c>
      <c r="C653" t="s">
        <v>2436</v>
      </c>
      <c r="D653" s="1">
        <v>44820</v>
      </c>
      <c r="E653" s="1" t="str">
        <f t="shared" si="70"/>
        <v>16</v>
      </c>
      <c r="F653" s="1" t="str">
        <f t="shared" si="71"/>
        <v>Sep</v>
      </c>
      <c r="G653" s="6" t="s">
        <v>34</v>
      </c>
      <c r="H653" s="5">
        <v>9313.01</v>
      </c>
      <c r="I653" s="5" t="str">
        <f>IF(fin_table[[#This Row],[Account Balance]]&lt;20000,"Active", "Not Active")</f>
        <v>Active</v>
      </c>
      <c r="J653" s="5">
        <v>9493.81</v>
      </c>
      <c r="K653" s="5" t="str">
        <f t="shared" si="72"/>
        <v>Low</v>
      </c>
      <c r="L653" s="6" t="s">
        <v>125</v>
      </c>
      <c r="M653">
        <v>57</v>
      </c>
      <c r="N653" s="6" t="str">
        <f t="shared" si="73"/>
        <v>Older Adults</v>
      </c>
      <c r="O653" s="6" t="s">
        <v>25</v>
      </c>
      <c r="P653" s="6" t="s">
        <v>50</v>
      </c>
      <c r="Q653" t="s">
        <v>210</v>
      </c>
      <c r="R653" s="6" t="s">
        <v>38</v>
      </c>
      <c r="S653" s="6" t="s">
        <v>62</v>
      </c>
      <c r="T653" s="14">
        <v>3.0499999999999999E-2</v>
      </c>
      <c r="U653">
        <v>3.05</v>
      </c>
      <c r="V653" t="str">
        <f>IF(fin_table[[#This Row],[Interest Rate(%)]]&gt;4,"high","low")</f>
        <v>low</v>
      </c>
      <c r="W653" s="5">
        <v>38845.53</v>
      </c>
      <c r="X653" s="5">
        <f>fin_table[[#This Row],[Interest Rate]]*fin_table[[#This Row],[Loan Amount]]</f>
        <v>1184.788665</v>
      </c>
      <c r="Y653">
        <v>3</v>
      </c>
      <c r="Z653" s="3">
        <v>320</v>
      </c>
      <c r="AA653" s="3" t="str">
        <f t="shared" si="74"/>
        <v>Poor</v>
      </c>
      <c r="AB653" s="3" cm="1">
        <f t="array" ref="AB653">_xlfn.IFS(fin_table[[#This Row],[Transaction Status]]="Failed", 1, fin_table[[#This Row],[Transaction Status]]="Completed",0,fin_table[[#This Row],[Transaction Status]]="Pending",2)</f>
        <v>2</v>
      </c>
      <c r="AC653" s="3" t="str">
        <f>IF(fin_table[[#This Row],[Loan Defaulters]]=1,"Default", "Good")</f>
        <v>Good</v>
      </c>
      <c r="AD653" s="3">
        <f t="shared" si="75"/>
        <v>1</v>
      </c>
      <c r="AE653" s="4">
        <v>5235.68</v>
      </c>
      <c r="AF653" s="4" t="str">
        <f>IF(fin_table[[#This Row],[Monthly Income]]&lt;3000, "Low Income", IF(fin_table[[#This Row],[Monthly Income]]&lt;=5000, "Middle Income", "High Income"))</f>
        <v>High Income</v>
      </c>
      <c r="AG653" t="s">
        <v>30</v>
      </c>
      <c r="AH653" t="s">
        <v>3636</v>
      </c>
      <c r="AI653" t="str">
        <f t="shared" si="76"/>
        <v>High-Risk</v>
      </c>
    </row>
    <row r="654" spans="1:35" x14ac:dyDescent="0.35">
      <c r="A654" t="s">
        <v>2437</v>
      </c>
      <c r="B654" t="s">
        <v>2438</v>
      </c>
      <c r="C654" t="s">
        <v>2439</v>
      </c>
      <c r="D654" s="1">
        <v>44737</v>
      </c>
      <c r="E654" s="1" t="str">
        <f t="shared" si="70"/>
        <v>25</v>
      </c>
      <c r="F654" s="1" t="str">
        <f t="shared" si="71"/>
        <v>Jun</v>
      </c>
      <c r="G654" s="6" t="s">
        <v>56</v>
      </c>
      <c r="H654" s="5">
        <v>5023.3900000000003</v>
      </c>
      <c r="I654" s="5" t="str">
        <f>IF(fin_table[[#This Row],[Account Balance]]&lt;20000,"Active", "Not Active")</f>
        <v>Not Active</v>
      </c>
      <c r="J654" s="5">
        <v>24805.05</v>
      </c>
      <c r="K654" s="5" t="str">
        <f t="shared" si="72"/>
        <v>Medium</v>
      </c>
      <c r="L654" s="6" t="s">
        <v>35</v>
      </c>
      <c r="M654">
        <v>20</v>
      </c>
      <c r="N654" s="6" t="str">
        <f t="shared" si="73"/>
        <v>Young Adults</v>
      </c>
      <c r="O654" s="6" t="s">
        <v>25</v>
      </c>
      <c r="P654" s="6" t="s">
        <v>50</v>
      </c>
      <c r="Q654" t="s">
        <v>686</v>
      </c>
      <c r="R654" s="6" t="s">
        <v>38</v>
      </c>
      <c r="S654" s="6" t="s">
        <v>44</v>
      </c>
      <c r="T654" s="14">
        <v>1.5599999999999999E-2</v>
      </c>
      <c r="U654">
        <v>1.56</v>
      </c>
      <c r="V654" t="str">
        <f>IF(fin_table[[#This Row],[Interest Rate(%)]]&gt;4,"high","low")</f>
        <v>low</v>
      </c>
      <c r="W654" s="5">
        <v>26681.654999999999</v>
      </c>
      <c r="X654" s="5">
        <f>fin_table[[#This Row],[Interest Rate]]*fin_table[[#This Row],[Loan Amount]]</f>
        <v>416.23381799999999</v>
      </c>
      <c r="Y654">
        <v>4</v>
      </c>
      <c r="Z654" s="3">
        <v>556</v>
      </c>
      <c r="AA654" s="3" t="str">
        <f t="shared" si="74"/>
        <v>Poor</v>
      </c>
      <c r="AB654" s="3" cm="1">
        <f t="array" ref="AB654">_xlfn.IFS(fin_table[[#This Row],[Transaction Status]]="Failed", 1, fin_table[[#This Row],[Transaction Status]]="Completed",0,fin_table[[#This Row],[Transaction Status]]="Pending",2)</f>
        <v>0</v>
      </c>
      <c r="AC654" s="3" t="str">
        <f>IF(fin_table[[#This Row],[Loan Defaulters]]=1,"Default", "Good")</f>
        <v>Good</v>
      </c>
      <c r="AD654" s="3">
        <f t="shared" si="75"/>
        <v>1</v>
      </c>
      <c r="AE654" s="4">
        <v>5049.07</v>
      </c>
      <c r="AF654" s="4" t="str">
        <f>IF(fin_table[[#This Row],[Monthly Income]]&lt;3000, "Low Income", IF(fin_table[[#This Row],[Monthly Income]]&lt;=5000, "Middle Income", "High Income"))</f>
        <v>High Income</v>
      </c>
      <c r="AG654" t="s">
        <v>45</v>
      </c>
      <c r="AH654" t="s">
        <v>3635</v>
      </c>
      <c r="AI654" t="str">
        <f t="shared" si="76"/>
        <v>Low-Risk</v>
      </c>
    </row>
    <row r="655" spans="1:35" x14ac:dyDescent="0.35">
      <c r="A655" t="s">
        <v>2440</v>
      </c>
      <c r="B655" t="s">
        <v>2441</v>
      </c>
      <c r="C655" t="s">
        <v>2442</v>
      </c>
      <c r="D655" s="1">
        <v>44758</v>
      </c>
      <c r="E655" s="1" t="str">
        <f t="shared" si="70"/>
        <v>16</v>
      </c>
      <c r="F655" s="1" t="str">
        <f t="shared" si="71"/>
        <v>Jul</v>
      </c>
      <c r="G655" s="6" t="s">
        <v>56</v>
      </c>
      <c r="H655" s="5">
        <v>2379.48</v>
      </c>
      <c r="I655" s="5" t="str">
        <f>IF(fin_table[[#This Row],[Account Balance]]&lt;20000,"Active", "Not Active")</f>
        <v>Active</v>
      </c>
      <c r="J655" s="5">
        <v>6729.25</v>
      </c>
      <c r="K655" s="5" t="str">
        <f t="shared" si="72"/>
        <v>Low</v>
      </c>
      <c r="L655" s="6" t="s">
        <v>125</v>
      </c>
      <c r="M655">
        <v>42</v>
      </c>
      <c r="N655" s="6" t="str">
        <f t="shared" si="73"/>
        <v>Middle-Aged</v>
      </c>
      <c r="O655" s="6" t="s">
        <v>25</v>
      </c>
      <c r="P655" s="6" t="s">
        <v>26</v>
      </c>
      <c r="Q655" t="s">
        <v>2443</v>
      </c>
      <c r="R655" s="6" t="s">
        <v>38</v>
      </c>
      <c r="S655" s="6" t="s">
        <v>62</v>
      </c>
      <c r="T655" s="14">
        <v>1.95E-2</v>
      </c>
      <c r="U655">
        <v>1.95</v>
      </c>
      <c r="V655" t="str">
        <f>IF(fin_table[[#This Row],[Interest Rate(%)]]&gt;4,"high","low")</f>
        <v>low</v>
      </c>
      <c r="W655" s="5">
        <v>34541.22</v>
      </c>
      <c r="X655" s="5">
        <f>fin_table[[#This Row],[Interest Rate]]*fin_table[[#This Row],[Loan Amount]]</f>
        <v>673.55379000000005</v>
      </c>
      <c r="Y655">
        <v>13</v>
      </c>
      <c r="Z655" s="3">
        <v>698</v>
      </c>
      <c r="AA655" s="3" t="str">
        <f t="shared" si="74"/>
        <v>Good</v>
      </c>
      <c r="AB655" s="3" cm="1">
        <f t="array" ref="AB655">_xlfn.IFS(fin_table[[#This Row],[Transaction Status]]="Failed", 1, fin_table[[#This Row],[Transaction Status]]="Completed",0,fin_table[[#This Row],[Transaction Status]]="Pending",2)</f>
        <v>2</v>
      </c>
      <c r="AC655" s="3" t="str">
        <f>IF(fin_table[[#This Row],[Loan Defaulters]]=1,"Default", "Good")</f>
        <v>Good</v>
      </c>
      <c r="AD655" s="3">
        <f t="shared" si="75"/>
        <v>3</v>
      </c>
      <c r="AE655" s="4">
        <v>4505.8100000000004</v>
      </c>
      <c r="AF655" s="4" t="str">
        <f>IF(fin_table[[#This Row],[Monthly Income]]&lt;3000, "Low Income", IF(fin_table[[#This Row],[Monthly Income]]&lt;=5000, "Middle Income", "High Income"))</f>
        <v>Middle Income</v>
      </c>
      <c r="AG655" t="s">
        <v>63</v>
      </c>
      <c r="AH655" t="s">
        <v>3636</v>
      </c>
      <c r="AI655" t="str">
        <f t="shared" si="76"/>
        <v>Low-Risk</v>
      </c>
    </row>
    <row r="656" spans="1:35" x14ac:dyDescent="0.35">
      <c r="A656" t="s">
        <v>2444</v>
      </c>
      <c r="B656" t="s">
        <v>90</v>
      </c>
      <c r="C656" t="s">
        <v>2445</v>
      </c>
      <c r="D656" s="1">
        <v>44596</v>
      </c>
      <c r="E656" s="1" t="str">
        <f t="shared" si="70"/>
        <v>04</v>
      </c>
      <c r="F656" s="1" t="str">
        <f t="shared" si="71"/>
        <v>Feb</v>
      </c>
      <c r="G656" s="6" t="s">
        <v>23</v>
      </c>
      <c r="H656" s="5">
        <v>541.17999999999995</v>
      </c>
      <c r="I656" s="5" t="str">
        <f>IF(fin_table[[#This Row],[Account Balance]]&lt;20000,"Active", "Not Active")</f>
        <v>Not Active</v>
      </c>
      <c r="J656" s="5">
        <v>34425.5</v>
      </c>
      <c r="K656" s="5" t="str">
        <f t="shared" si="72"/>
        <v>Medium</v>
      </c>
      <c r="L656" s="6" t="s">
        <v>49</v>
      </c>
      <c r="M656">
        <v>62</v>
      </c>
      <c r="N656" s="6" t="str">
        <f t="shared" si="73"/>
        <v>Seniors</v>
      </c>
      <c r="O656" s="6" t="s">
        <v>25</v>
      </c>
      <c r="P656" s="6" t="s">
        <v>50</v>
      </c>
      <c r="Q656" t="s">
        <v>2446</v>
      </c>
      <c r="R656" s="6" t="s">
        <v>52</v>
      </c>
      <c r="S656" s="6" t="s">
        <v>29</v>
      </c>
      <c r="T656" s="14">
        <v>2.7900000000000001E-2</v>
      </c>
      <c r="U656">
        <v>2.79</v>
      </c>
      <c r="V656" t="str">
        <f>IF(fin_table[[#This Row],[Interest Rate(%)]]&gt;4,"high","low")</f>
        <v>low</v>
      </c>
      <c r="W656" s="5">
        <v>5830.58</v>
      </c>
      <c r="X656" s="5">
        <f>fin_table[[#This Row],[Interest Rate]]*fin_table[[#This Row],[Loan Amount]]</f>
        <v>162.673182</v>
      </c>
      <c r="Y656">
        <v>13</v>
      </c>
      <c r="Z656" s="3">
        <v>828</v>
      </c>
      <c r="AA656" s="3" t="str">
        <f t="shared" si="74"/>
        <v>Excellent</v>
      </c>
      <c r="AB656" s="3" cm="1">
        <f t="array" ref="AB656">_xlfn.IFS(fin_table[[#This Row],[Transaction Status]]="Failed", 1, fin_table[[#This Row],[Transaction Status]]="Completed",0,fin_table[[#This Row],[Transaction Status]]="Pending",2)</f>
        <v>1</v>
      </c>
      <c r="AC656" s="3" t="str">
        <f>IF(fin_table[[#This Row],[Loan Defaulters]]=1,"Default", "Good")</f>
        <v>Default</v>
      </c>
      <c r="AD656" s="3">
        <f t="shared" si="75"/>
        <v>5</v>
      </c>
      <c r="AE656" s="4">
        <v>9471.82</v>
      </c>
      <c r="AF656" s="4" t="str">
        <f>IF(fin_table[[#This Row],[Monthly Income]]&lt;3000, "Low Income", IF(fin_table[[#This Row],[Monthly Income]]&lt;=5000, "Middle Income", "High Income"))</f>
        <v>High Income</v>
      </c>
      <c r="AG656" t="s">
        <v>45</v>
      </c>
      <c r="AH656" t="s">
        <v>3636</v>
      </c>
      <c r="AI656" t="str">
        <f t="shared" si="76"/>
        <v>Low-Risk</v>
      </c>
    </row>
    <row r="657" spans="1:35" x14ac:dyDescent="0.35">
      <c r="A657" t="s">
        <v>2447</v>
      </c>
      <c r="B657" t="s">
        <v>2448</v>
      </c>
      <c r="C657" t="s">
        <v>2449</v>
      </c>
      <c r="D657" s="1">
        <v>44757</v>
      </c>
      <c r="E657" s="1" t="str">
        <f t="shared" si="70"/>
        <v>15</v>
      </c>
      <c r="F657" s="1" t="str">
        <f t="shared" si="71"/>
        <v>Jul</v>
      </c>
      <c r="G657" s="6" t="s">
        <v>23</v>
      </c>
      <c r="H657" s="5">
        <v>4214.8599999999997</v>
      </c>
      <c r="I657" s="5" t="str">
        <f>IF(fin_table[[#This Row],[Account Balance]]&lt;20000,"Active", "Not Active")</f>
        <v>Not Active</v>
      </c>
      <c r="J657" s="5">
        <v>47545.08</v>
      </c>
      <c r="K657" s="5" t="str">
        <f t="shared" si="72"/>
        <v>Medium</v>
      </c>
      <c r="L657" s="6" t="s">
        <v>35</v>
      </c>
      <c r="M657">
        <v>55</v>
      </c>
      <c r="N657" s="6" t="str">
        <f t="shared" si="73"/>
        <v>Older Adults</v>
      </c>
      <c r="O657" s="6" t="s">
        <v>25</v>
      </c>
      <c r="P657" s="6" t="s">
        <v>36</v>
      </c>
      <c r="Q657" t="s">
        <v>2450</v>
      </c>
      <c r="R657" s="6" t="s">
        <v>52</v>
      </c>
      <c r="S657" s="6" t="s">
        <v>29</v>
      </c>
      <c r="T657" s="14">
        <v>1.7600000000000001E-2</v>
      </c>
      <c r="U657">
        <v>1.76</v>
      </c>
      <c r="V657" t="str">
        <f>IF(fin_table[[#This Row],[Interest Rate(%)]]&gt;4,"high","low")</f>
        <v>low</v>
      </c>
      <c r="W657" s="5">
        <v>26681.654999999999</v>
      </c>
      <c r="X657" s="5">
        <f>fin_table[[#This Row],[Interest Rate]]*fin_table[[#This Row],[Loan Amount]]</f>
        <v>469.597128</v>
      </c>
      <c r="Y657">
        <v>10</v>
      </c>
      <c r="Z657" s="3">
        <v>350</v>
      </c>
      <c r="AA657" s="3" t="str">
        <f t="shared" si="74"/>
        <v>Poor</v>
      </c>
      <c r="AB657" s="3" cm="1">
        <f t="array" ref="AB657">_xlfn.IFS(fin_table[[#This Row],[Transaction Status]]="Failed", 1, fin_table[[#This Row],[Transaction Status]]="Completed",0,fin_table[[#This Row],[Transaction Status]]="Pending",2)</f>
        <v>1</v>
      </c>
      <c r="AC657" s="3" t="str">
        <f>IF(fin_table[[#This Row],[Loan Defaulters]]=1,"Default", "Good")</f>
        <v>Default</v>
      </c>
      <c r="AD657" s="3">
        <f t="shared" si="75"/>
        <v>1</v>
      </c>
      <c r="AE657" s="4">
        <v>6265.35</v>
      </c>
      <c r="AF657" s="4" t="str">
        <f>IF(fin_table[[#This Row],[Monthly Income]]&lt;3000, "Low Income", IF(fin_table[[#This Row],[Monthly Income]]&lt;=5000, "Middle Income", "High Income"))</f>
        <v>High Income</v>
      </c>
      <c r="AG657" t="s">
        <v>63</v>
      </c>
      <c r="AH657" t="s">
        <v>3635</v>
      </c>
      <c r="AI657" t="str">
        <f t="shared" si="76"/>
        <v>Low-Risk</v>
      </c>
    </row>
    <row r="658" spans="1:35" x14ac:dyDescent="0.35">
      <c r="A658" t="s">
        <v>2451</v>
      </c>
      <c r="B658" t="s">
        <v>2452</v>
      </c>
      <c r="C658" t="s">
        <v>2453</v>
      </c>
      <c r="D658" s="1">
        <v>45108</v>
      </c>
      <c r="E658" s="1" t="str">
        <f t="shared" si="70"/>
        <v>01</v>
      </c>
      <c r="F658" s="1" t="str">
        <f t="shared" si="71"/>
        <v>Jul</v>
      </c>
      <c r="G658" s="6" t="s">
        <v>56</v>
      </c>
      <c r="H658" s="5">
        <v>3088.98</v>
      </c>
      <c r="I658" s="5" t="str">
        <f>IF(fin_table[[#This Row],[Account Balance]]&lt;20000,"Active", "Not Active")</f>
        <v>Active</v>
      </c>
      <c r="J658" s="5">
        <v>7717.38</v>
      </c>
      <c r="K658" s="5" t="str">
        <f t="shared" si="72"/>
        <v>Low</v>
      </c>
      <c r="L658" s="6" t="s">
        <v>125</v>
      </c>
      <c r="M658">
        <v>62</v>
      </c>
      <c r="N658" s="6" t="str">
        <f t="shared" si="73"/>
        <v>Seniors</v>
      </c>
      <c r="O658" s="6" t="s">
        <v>25</v>
      </c>
      <c r="P658" s="6" t="s">
        <v>36</v>
      </c>
      <c r="Q658" t="s">
        <v>2454</v>
      </c>
      <c r="R658" s="6" t="s">
        <v>38</v>
      </c>
      <c r="S658" s="6" t="s">
        <v>44</v>
      </c>
      <c r="T658" s="14">
        <v>2.07E-2</v>
      </c>
      <c r="U658">
        <v>2.0699999999999998</v>
      </c>
      <c r="V658" t="str">
        <f>IF(fin_table[[#This Row],[Interest Rate(%)]]&gt;4,"high","low")</f>
        <v>low</v>
      </c>
      <c r="W658" s="5">
        <v>26681.654999999999</v>
      </c>
      <c r="X658" s="5">
        <f>fin_table[[#This Row],[Interest Rate]]*fin_table[[#This Row],[Loan Amount]]</f>
        <v>552.31025849999992</v>
      </c>
      <c r="Y658">
        <v>20</v>
      </c>
      <c r="Z658" s="3">
        <v>746</v>
      </c>
      <c r="AA658" s="3" t="str">
        <f t="shared" si="74"/>
        <v>Very Good</v>
      </c>
      <c r="AB658" s="3" cm="1">
        <f t="array" ref="AB658">_xlfn.IFS(fin_table[[#This Row],[Transaction Status]]="Failed", 1, fin_table[[#This Row],[Transaction Status]]="Completed",0,fin_table[[#This Row],[Transaction Status]]="Pending",2)</f>
        <v>0</v>
      </c>
      <c r="AC658" s="3" t="str">
        <f>IF(fin_table[[#This Row],[Loan Defaulters]]=1,"Default", "Good")</f>
        <v>Good</v>
      </c>
      <c r="AD658" s="3">
        <f t="shared" si="75"/>
        <v>4</v>
      </c>
      <c r="AE658" s="4">
        <v>12664.49</v>
      </c>
      <c r="AF658" s="4" t="str">
        <f>IF(fin_table[[#This Row],[Monthly Income]]&lt;3000, "Low Income", IF(fin_table[[#This Row],[Monthly Income]]&lt;=5000, "Middle Income", "High Income"))</f>
        <v>High Income</v>
      </c>
      <c r="AG658" t="s">
        <v>63</v>
      </c>
      <c r="AH658" t="s">
        <v>3635</v>
      </c>
      <c r="AI658" t="str">
        <f t="shared" si="76"/>
        <v>Low-Risk</v>
      </c>
    </row>
    <row r="659" spans="1:35" x14ac:dyDescent="0.35">
      <c r="A659" t="s">
        <v>2455</v>
      </c>
      <c r="B659" t="s">
        <v>2456</v>
      </c>
      <c r="C659" t="s">
        <v>2457</v>
      </c>
      <c r="D659" s="1">
        <v>45097</v>
      </c>
      <c r="E659" s="1" t="str">
        <f t="shared" si="70"/>
        <v>20</v>
      </c>
      <c r="F659" s="1" t="str">
        <f t="shared" si="71"/>
        <v>Jun</v>
      </c>
      <c r="G659" s="6" t="s">
        <v>71</v>
      </c>
      <c r="H659" s="5">
        <v>7634.77</v>
      </c>
      <c r="I659" s="5" t="str">
        <f>IF(fin_table[[#This Row],[Account Balance]]&lt;20000,"Active", "Not Active")</f>
        <v>Not Active</v>
      </c>
      <c r="J659" s="5">
        <v>36960.269999999997</v>
      </c>
      <c r="K659" s="5" t="str">
        <f t="shared" si="72"/>
        <v>Medium</v>
      </c>
      <c r="L659" s="6" t="s">
        <v>125</v>
      </c>
      <c r="M659">
        <v>37</v>
      </c>
      <c r="N659" s="6" t="str">
        <f t="shared" si="73"/>
        <v>Middle-Aged</v>
      </c>
      <c r="O659" s="6" t="s">
        <v>25</v>
      </c>
      <c r="P659" s="6" t="s">
        <v>26</v>
      </c>
      <c r="Q659" t="s">
        <v>2458</v>
      </c>
      <c r="R659" s="6" t="s">
        <v>38</v>
      </c>
      <c r="S659" s="6" t="s">
        <v>44</v>
      </c>
      <c r="T659" s="14">
        <v>3.1399999999999997E-2</v>
      </c>
      <c r="U659">
        <v>3.14</v>
      </c>
      <c r="V659" t="str">
        <f>IF(fin_table[[#This Row],[Interest Rate(%)]]&gt;4,"high","low")</f>
        <v>low</v>
      </c>
      <c r="W659" s="5">
        <v>26681.654999999999</v>
      </c>
      <c r="X659" s="5">
        <f>fin_table[[#This Row],[Interest Rate]]*fin_table[[#This Row],[Loan Amount]]</f>
        <v>837.80396699999994</v>
      </c>
      <c r="Y659">
        <v>29</v>
      </c>
      <c r="Z659" s="3">
        <v>569</v>
      </c>
      <c r="AA659" s="3" t="str">
        <f t="shared" si="74"/>
        <v>Poor</v>
      </c>
      <c r="AB659" s="3" cm="1">
        <f t="array" ref="AB659">_xlfn.IFS(fin_table[[#This Row],[Transaction Status]]="Failed", 1, fin_table[[#This Row],[Transaction Status]]="Completed",0,fin_table[[#This Row],[Transaction Status]]="Pending",2)</f>
        <v>0</v>
      </c>
      <c r="AC659" s="3" t="str">
        <f>IF(fin_table[[#This Row],[Loan Defaulters]]=1,"Default", "Good")</f>
        <v>Good</v>
      </c>
      <c r="AD659" s="3">
        <f t="shared" si="75"/>
        <v>1</v>
      </c>
      <c r="AE659" s="4">
        <v>4391.32</v>
      </c>
      <c r="AF659" s="4" t="str">
        <f>IF(fin_table[[#This Row],[Monthly Income]]&lt;3000, "Low Income", IF(fin_table[[#This Row],[Monthly Income]]&lt;=5000, "Middle Income", "High Income"))</f>
        <v>Middle Income</v>
      </c>
      <c r="AG659" t="s">
        <v>30</v>
      </c>
      <c r="AH659" t="s">
        <v>3635</v>
      </c>
      <c r="AI659" t="str">
        <f t="shared" si="76"/>
        <v>Low-Risk</v>
      </c>
    </row>
    <row r="660" spans="1:35" x14ac:dyDescent="0.35">
      <c r="A660" t="s">
        <v>2459</v>
      </c>
      <c r="B660" t="s">
        <v>2460</v>
      </c>
      <c r="C660" t="s">
        <v>2461</v>
      </c>
      <c r="D660" s="1">
        <v>44671</v>
      </c>
      <c r="E660" s="1" t="str">
        <f t="shared" si="70"/>
        <v>20</v>
      </c>
      <c r="F660" s="1" t="str">
        <f t="shared" si="71"/>
        <v>Apr</v>
      </c>
      <c r="G660" s="6" t="s">
        <v>56</v>
      </c>
      <c r="H660" s="5">
        <v>3607.25</v>
      </c>
      <c r="I660" s="5" t="str">
        <f>IF(fin_table[[#This Row],[Account Balance]]&lt;20000,"Active", "Not Active")</f>
        <v>Not Active</v>
      </c>
      <c r="J660" s="5">
        <v>31979.67</v>
      </c>
      <c r="K660" s="5" t="str">
        <f t="shared" si="72"/>
        <v>Medium</v>
      </c>
      <c r="L660" s="6" t="s">
        <v>24</v>
      </c>
      <c r="M660">
        <v>69</v>
      </c>
      <c r="N660" s="6" t="str">
        <f t="shared" si="73"/>
        <v>Seniors</v>
      </c>
      <c r="O660" s="6" t="s">
        <v>42</v>
      </c>
      <c r="P660" s="6" t="s">
        <v>50</v>
      </c>
      <c r="Q660" t="s">
        <v>1987</v>
      </c>
      <c r="R660" s="6" t="s">
        <v>52</v>
      </c>
      <c r="S660" s="6" t="s">
        <v>44</v>
      </c>
      <c r="T660" s="14">
        <v>4.3299999999999998E-2</v>
      </c>
      <c r="U660">
        <v>4.33</v>
      </c>
      <c r="V660" t="str">
        <f>IF(fin_table[[#This Row],[Interest Rate(%)]]&gt;4,"high","low")</f>
        <v>high</v>
      </c>
      <c r="W660" s="5">
        <v>16767.18</v>
      </c>
      <c r="X660" s="5">
        <f>fin_table[[#This Row],[Interest Rate]]*fin_table[[#This Row],[Loan Amount]]</f>
        <v>726.01889399999993</v>
      </c>
      <c r="Y660">
        <v>2</v>
      </c>
      <c r="Z660" s="3">
        <v>561</v>
      </c>
      <c r="AA660" s="3" t="str">
        <f t="shared" si="74"/>
        <v>Poor</v>
      </c>
      <c r="AB660" s="3" cm="1">
        <f t="array" ref="AB660">_xlfn.IFS(fin_table[[#This Row],[Transaction Status]]="Failed", 1, fin_table[[#This Row],[Transaction Status]]="Completed",0,fin_table[[#This Row],[Transaction Status]]="Pending",2)</f>
        <v>0</v>
      </c>
      <c r="AC660" s="3" t="str">
        <f>IF(fin_table[[#This Row],[Loan Defaulters]]=1,"Default", "Good")</f>
        <v>Good</v>
      </c>
      <c r="AD660" s="3">
        <f t="shared" si="75"/>
        <v>1</v>
      </c>
      <c r="AE660" s="4">
        <v>8040.15</v>
      </c>
      <c r="AF660" s="4" t="str">
        <f>IF(fin_table[[#This Row],[Monthly Income]]&lt;3000, "Low Income", IF(fin_table[[#This Row],[Monthly Income]]&lt;=5000, "Middle Income", "High Income"))</f>
        <v>High Income</v>
      </c>
      <c r="AG660" t="s">
        <v>63</v>
      </c>
      <c r="AH660" t="s">
        <v>3636</v>
      </c>
      <c r="AI660" t="str">
        <f t="shared" si="76"/>
        <v>Low-Risk</v>
      </c>
    </row>
    <row r="661" spans="1:35" x14ac:dyDescent="0.35">
      <c r="A661" t="s">
        <v>2462</v>
      </c>
      <c r="B661" t="s">
        <v>2463</v>
      </c>
      <c r="C661" t="s">
        <v>2464</v>
      </c>
      <c r="D661" s="1">
        <v>45149</v>
      </c>
      <c r="E661" s="1" t="str">
        <f t="shared" si="70"/>
        <v>11</v>
      </c>
      <c r="F661" s="1" t="str">
        <f t="shared" si="71"/>
        <v>Aug</v>
      </c>
      <c r="G661" s="6" t="s">
        <v>34</v>
      </c>
      <c r="H661" s="5">
        <v>9495.7999999999993</v>
      </c>
      <c r="I661" s="5" t="str">
        <f>IF(fin_table[[#This Row],[Account Balance]]&lt;20000,"Active", "Not Active")</f>
        <v>Not Active</v>
      </c>
      <c r="J661" s="5">
        <v>29596.65</v>
      </c>
      <c r="K661" s="5" t="str">
        <f t="shared" si="72"/>
        <v>Medium</v>
      </c>
      <c r="L661" s="6" t="s">
        <v>125</v>
      </c>
      <c r="M661">
        <v>61</v>
      </c>
      <c r="N661" s="6" t="str">
        <f t="shared" si="73"/>
        <v>Seniors</v>
      </c>
      <c r="O661" s="6" t="s">
        <v>25</v>
      </c>
      <c r="P661" s="6" t="s">
        <v>36</v>
      </c>
      <c r="Q661" t="s">
        <v>2465</v>
      </c>
      <c r="R661" s="6" t="s">
        <v>28</v>
      </c>
      <c r="S661" s="6" t="s">
        <v>62</v>
      </c>
      <c r="T661" s="14">
        <v>2.6100000000000002E-2</v>
      </c>
      <c r="U661">
        <v>2.61</v>
      </c>
      <c r="V661" t="str">
        <f>IF(fin_table[[#This Row],[Interest Rate(%)]]&gt;4,"high","low")</f>
        <v>low</v>
      </c>
      <c r="W661" s="5">
        <v>37519.120000000003</v>
      </c>
      <c r="X661" s="5">
        <f>fin_table[[#This Row],[Interest Rate]]*fin_table[[#This Row],[Loan Amount]]</f>
        <v>979.24903200000017</v>
      </c>
      <c r="Y661">
        <v>13</v>
      </c>
      <c r="Z661" s="3">
        <v>664</v>
      </c>
      <c r="AA661" s="3" t="str">
        <f t="shared" si="74"/>
        <v>Fair</v>
      </c>
      <c r="AB661" s="3" cm="1">
        <f t="array" ref="AB661">_xlfn.IFS(fin_table[[#This Row],[Transaction Status]]="Failed", 1, fin_table[[#This Row],[Transaction Status]]="Completed",0,fin_table[[#This Row],[Transaction Status]]="Pending",2)</f>
        <v>2</v>
      </c>
      <c r="AC661" s="3" t="str">
        <f>IF(fin_table[[#This Row],[Loan Defaulters]]=1,"Default", "Good")</f>
        <v>Good</v>
      </c>
      <c r="AD661" s="3">
        <f t="shared" si="75"/>
        <v>2</v>
      </c>
      <c r="AE661" s="4">
        <v>2177.5500000000002</v>
      </c>
      <c r="AF661" s="4" t="str">
        <f>IF(fin_table[[#This Row],[Monthly Income]]&lt;3000, "Low Income", IF(fin_table[[#This Row],[Monthly Income]]&lt;=5000, "Middle Income", "High Income"))</f>
        <v>Low Income</v>
      </c>
      <c r="AG661" t="s">
        <v>63</v>
      </c>
      <c r="AH661" t="s">
        <v>3636</v>
      </c>
      <c r="AI661" t="str">
        <f t="shared" si="76"/>
        <v>Low-Risk</v>
      </c>
    </row>
    <row r="662" spans="1:35" x14ac:dyDescent="0.35">
      <c r="A662" t="s">
        <v>2466</v>
      </c>
      <c r="B662" t="s">
        <v>2467</v>
      </c>
      <c r="C662" t="s">
        <v>2468</v>
      </c>
      <c r="D662" s="1">
        <v>44672</v>
      </c>
      <c r="E662" s="1" t="str">
        <f t="shared" si="70"/>
        <v>21</v>
      </c>
      <c r="F662" s="1" t="str">
        <f t="shared" si="71"/>
        <v>Apr</v>
      </c>
      <c r="G662" s="6" t="s">
        <v>56</v>
      </c>
      <c r="H662" s="5">
        <v>9626.8700000000008</v>
      </c>
      <c r="I662" s="5" t="str">
        <f>IF(fin_table[[#This Row],[Account Balance]]&lt;20000,"Active", "Not Active")</f>
        <v>Not Active</v>
      </c>
      <c r="J662" s="5">
        <v>20115.89</v>
      </c>
      <c r="K662" s="5" t="str">
        <f t="shared" si="72"/>
        <v>Medium</v>
      </c>
      <c r="L662" s="6" t="s">
        <v>100</v>
      </c>
      <c r="M662">
        <v>62</v>
      </c>
      <c r="N662" s="6" t="str">
        <f t="shared" si="73"/>
        <v>Seniors</v>
      </c>
      <c r="O662" s="6" t="s">
        <v>25</v>
      </c>
      <c r="P662" s="6" t="s">
        <v>36</v>
      </c>
      <c r="Q662" t="s">
        <v>2469</v>
      </c>
      <c r="R662" s="6" t="s">
        <v>52</v>
      </c>
      <c r="S662" s="6" t="s">
        <v>29</v>
      </c>
      <c r="T662" s="14">
        <v>3.8699999999999998E-2</v>
      </c>
      <c r="U662">
        <v>3.87</v>
      </c>
      <c r="V662" t="str">
        <f>IF(fin_table[[#This Row],[Interest Rate(%)]]&gt;4,"high","low")</f>
        <v>low</v>
      </c>
      <c r="W662" s="5">
        <v>19460.8</v>
      </c>
      <c r="X662" s="5">
        <f>fin_table[[#This Row],[Interest Rate]]*fin_table[[#This Row],[Loan Amount]]</f>
        <v>753.13295999999991</v>
      </c>
      <c r="Y662">
        <v>27</v>
      </c>
      <c r="Z662" s="3">
        <v>348</v>
      </c>
      <c r="AA662" s="3" t="str">
        <f t="shared" si="74"/>
        <v>Poor</v>
      </c>
      <c r="AB662" s="3" cm="1">
        <f t="array" ref="AB662">_xlfn.IFS(fin_table[[#This Row],[Transaction Status]]="Failed", 1, fin_table[[#This Row],[Transaction Status]]="Completed",0,fin_table[[#This Row],[Transaction Status]]="Pending",2)</f>
        <v>1</v>
      </c>
      <c r="AC662" s="3" t="str">
        <f>IF(fin_table[[#This Row],[Loan Defaulters]]=1,"Default", "Good")</f>
        <v>Default</v>
      </c>
      <c r="AD662" s="3">
        <f t="shared" si="75"/>
        <v>1</v>
      </c>
      <c r="AE662" s="4">
        <v>8261.8700000000008</v>
      </c>
      <c r="AF662" s="4" t="str">
        <f>IF(fin_table[[#This Row],[Monthly Income]]&lt;3000, "Low Income", IF(fin_table[[#This Row],[Monthly Income]]&lt;=5000, "Middle Income", "High Income"))</f>
        <v>High Income</v>
      </c>
      <c r="AG662" t="s">
        <v>63</v>
      </c>
      <c r="AH662" t="s">
        <v>3636</v>
      </c>
      <c r="AI662" t="str">
        <f t="shared" si="76"/>
        <v>Low-Risk</v>
      </c>
    </row>
    <row r="663" spans="1:35" x14ac:dyDescent="0.35">
      <c r="A663" t="s">
        <v>2470</v>
      </c>
      <c r="B663" t="s">
        <v>2471</v>
      </c>
      <c r="C663" t="s">
        <v>2472</v>
      </c>
      <c r="D663" s="1">
        <v>44683</v>
      </c>
      <c r="E663" s="1" t="str">
        <f t="shared" si="70"/>
        <v>02</v>
      </c>
      <c r="F663" s="1" t="str">
        <f t="shared" si="71"/>
        <v>May</v>
      </c>
      <c r="G663" s="6" t="s">
        <v>34</v>
      </c>
      <c r="H663" s="5">
        <v>6247</v>
      </c>
      <c r="I663" s="5" t="str">
        <f>IF(fin_table[[#This Row],[Account Balance]]&lt;20000,"Active", "Not Active")</f>
        <v>Active</v>
      </c>
      <c r="J663" s="5">
        <v>18401.45</v>
      </c>
      <c r="K663" s="5" t="str">
        <f t="shared" si="72"/>
        <v>Medium</v>
      </c>
      <c r="L663" s="6" t="s">
        <v>35</v>
      </c>
      <c r="M663">
        <v>51</v>
      </c>
      <c r="N663" s="6" t="str">
        <f t="shared" si="73"/>
        <v>Older Adults</v>
      </c>
      <c r="O663" s="6" t="s">
        <v>42</v>
      </c>
      <c r="P663" s="6" t="s">
        <v>36</v>
      </c>
      <c r="Q663" t="s">
        <v>2228</v>
      </c>
      <c r="R663" s="6" t="s">
        <v>52</v>
      </c>
      <c r="S663" s="6" t="s">
        <v>44</v>
      </c>
      <c r="T663" s="14">
        <v>4.5100000000000001E-2</v>
      </c>
      <c r="U663">
        <v>4.51</v>
      </c>
      <c r="V663" t="str">
        <f>IF(fin_table[[#This Row],[Interest Rate(%)]]&gt;4,"high","low")</f>
        <v>high</v>
      </c>
      <c r="W663" s="5">
        <v>26681.654999999999</v>
      </c>
      <c r="X663" s="5">
        <f>fin_table[[#This Row],[Interest Rate]]*fin_table[[#This Row],[Loan Amount]]</f>
        <v>1203.3426405</v>
      </c>
      <c r="Y663">
        <v>13</v>
      </c>
      <c r="Z663" s="3">
        <v>817</v>
      </c>
      <c r="AA663" s="3" t="str">
        <f t="shared" si="74"/>
        <v>Excellent</v>
      </c>
      <c r="AB663" s="3" cm="1">
        <f t="array" ref="AB663">_xlfn.IFS(fin_table[[#This Row],[Transaction Status]]="Failed", 1, fin_table[[#This Row],[Transaction Status]]="Completed",0,fin_table[[#This Row],[Transaction Status]]="Pending",2)</f>
        <v>0</v>
      </c>
      <c r="AC663" s="3" t="str">
        <f>IF(fin_table[[#This Row],[Loan Defaulters]]=1,"Default", "Good")</f>
        <v>Good</v>
      </c>
      <c r="AD663" s="3">
        <f t="shared" si="75"/>
        <v>5</v>
      </c>
      <c r="AE663" s="4">
        <v>2725.9</v>
      </c>
      <c r="AF663" s="4" t="str">
        <f>IF(fin_table[[#This Row],[Monthly Income]]&lt;3000, "Low Income", IF(fin_table[[#This Row],[Monthly Income]]&lt;=5000, "Middle Income", "High Income"))</f>
        <v>Low Income</v>
      </c>
      <c r="AG663" t="s">
        <v>30</v>
      </c>
      <c r="AH663" t="s">
        <v>3635</v>
      </c>
      <c r="AI663" t="str">
        <f t="shared" si="76"/>
        <v>Low-Risk</v>
      </c>
    </row>
    <row r="664" spans="1:35" x14ac:dyDescent="0.35">
      <c r="A664" t="s">
        <v>2473</v>
      </c>
      <c r="B664" t="s">
        <v>2474</v>
      </c>
      <c r="C664" t="s">
        <v>2475</v>
      </c>
      <c r="D664" s="1">
        <v>44681</v>
      </c>
      <c r="E664" s="1" t="str">
        <f t="shared" si="70"/>
        <v>30</v>
      </c>
      <c r="F664" s="1" t="str">
        <f t="shared" si="71"/>
        <v>Apr</v>
      </c>
      <c r="G664" s="6" t="s">
        <v>23</v>
      </c>
      <c r="H664" s="5">
        <v>9293.74</v>
      </c>
      <c r="I664" s="5" t="str">
        <f>IF(fin_table[[#This Row],[Account Balance]]&lt;20000,"Active", "Not Active")</f>
        <v>Active</v>
      </c>
      <c r="J664" s="5">
        <v>3217.21</v>
      </c>
      <c r="K664" s="5" t="str">
        <f t="shared" si="72"/>
        <v>Low</v>
      </c>
      <c r="L664" s="6" t="s">
        <v>100</v>
      </c>
      <c r="M664">
        <v>38</v>
      </c>
      <c r="N664" s="6" t="str">
        <f t="shared" si="73"/>
        <v>Middle-Aged</v>
      </c>
      <c r="O664" s="6" t="s">
        <v>42</v>
      </c>
      <c r="P664" s="6" t="s">
        <v>26</v>
      </c>
      <c r="Q664" t="s">
        <v>2476</v>
      </c>
      <c r="R664" s="6" t="s">
        <v>52</v>
      </c>
      <c r="S664" s="6" t="s">
        <v>44</v>
      </c>
      <c r="T664" s="14">
        <v>1.8700000000000001E-2</v>
      </c>
      <c r="U664">
        <v>1.87</v>
      </c>
      <c r="V664" t="str">
        <f>IF(fin_table[[#This Row],[Interest Rate(%)]]&gt;4,"high","low")</f>
        <v>low</v>
      </c>
      <c r="W664" s="5">
        <v>17819.2</v>
      </c>
      <c r="X664" s="5">
        <f>fin_table[[#This Row],[Interest Rate]]*fin_table[[#This Row],[Loan Amount]]</f>
        <v>333.21904000000006</v>
      </c>
      <c r="Y664">
        <v>5</v>
      </c>
      <c r="Z664" s="3">
        <v>417</v>
      </c>
      <c r="AA664" s="3" t="str">
        <f t="shared" si="74"/>
        <v>Poor</v>
      </c>
      <c r="AB664" s="3" cm="1">
        <f t="array" ref="AB664">_xlfn.IFS(fin_table[[#This Row],[Transaction Status]]="Failed", 1, fin_table[[#This Row],[Transaction Status]]="Completed",0,fin_table[[#This Row],[Transaction Status]]="Pending",2)</f>
        <v>0</v>
      </c>
      <c r="AC664" s="3" t="str">
        <f>IF(fin_table[[#This Row],[Loan Defaulters]]=1,"Default", "Good")</f>
        <v>Good</v>
      </c>
      <c r="AD664" s="3">
        <f t="shared" si="75"/>
        <v>1</v>
      </c>
      <c r="AE664" s="4">
        <v>14710.41</v>
      </c>
      <c r="AF664" s="4" t="str">
        <f>IF(fin_table[[#This Row],[Monthly Income]]&lt;3000, "Low Income", IF(fin_table[[#This Row],[Monthly Income]]&lt;=5000, "Middle Income", "High Income"))</f>
        <v>High Income</v>
      </c>
      <c r="AG664" t="s">
        <v>63</v>
      </c>
      <c r="AH664" t="s">
        <v>3636</v>
      </c>
      <c r="AI664" t="str">
        <f t="shared" si="76"/>
        <v>Low-Risk</v>
      </c>
    </row>
    <row r="665" spans="1:35" x14ac:dyDescent="0.35">
      <c r="A665" t="s">
        <v>2477</v>
      </c>
      <c r="B665" t="s">
        <v>2478</v>
      </c>
      <c r="C665" t="s">
        <v>2479</v>
      </c>
      <c r="D665" s="1">
        <v>44623</v>
      </c>
      <c r="E665" s="1" t="str">
        <f t="shared" si="70"/>
        <v>03</v>
      </c>
      <c r="F665" s="1" t="str">
        <f t="shared" si="71"/>
        <v>Mar</v>
      </c>
      <c r="G665" s="6" t="s">
        <v>71</v>
      </c>
      <c r="H665" s="5">
        <v>7632.46</v>
      </c>
      <c r="I665" s="5" t="str">
        <f>IF(fin_table[[#This Row],[Account Balance]]&lt;20000,"Active", "Not Active")</f>
        <v>Active</v>
      </c>
      <c r="J665" s="5">
        <v>11677.53</v>
      </c>
      <c r="K665" s="5" t="str">
        <f t="shared" si="72"/>
        <v>Medium</v>
      </c>
      <c r="L665" s="6" t="s">
        <v>35</v>
      </c>
      <c r="M665">
        <v>65</v>
      </c>
      <c r="N665" s="6" t="str">
        <f t="shared" si="73"/>
        <v>Seniors</v>
      </c>
      <c r="O665" s="6" t="s">
        <v>42</v>
      </c>
      <c r="P665" s="6" t="s">
        <v>26</v>
      </c>
      <c r="Q665" t="s">
        <v>1615</v>
      </c>
      <c r="R665" s="6" t="s">
        <v>52</v>
      </c>
      <c r="S665" s="6" t="s">
        <v>44</v>
      </c>
      <c r="T665" s="14">
        <v>4.2299999999999997E-2</v>
      </c>
      <c r="U665">
        <v>4.2300000000000004</v>
      </c>
      <c r="V665" t="str">
        <f>IF(fin_table[[#This Row],[Interest Rate(%)]]&gt;4,"high","low")</f>
        <v>high</v>
      </c>
      <c r="W665" s="5">
        <v>38861.29</v>
      </c>
      <c r="X665" s="5">
        <f>fin_table[[#This Row],[Interest Rate]]*fin_table[[#This Row],[Loan Amount]]</f>
        <v>1643.8325669999999</v>
      </c>
      <c r="Y665">
        <v>13</v>
      </c>
      <c r="Z665" s="3">
        <v>752</v>
      </c>
      <c r="AA665" s="3" t="str">
        <f t="shared" si="74"/>
        <v>Very Good</v>
      </c>
      <c r="AB665" s="3" cm="1">
        <f t="array" ref="AB665">_xlfn.IFS(fin_table[[#This Row],[Transaction Status]]="Failed", 1, fin_table[[#This Row],[Transaction Status]]="Completed",0,fin_table[[#This Row],[Transaction Status]]="Pending",2)</f>
        <v>0</v>
      </c>
      <c r="AC665" s="3" t="str">
        <f>IF(fin_table[[#This Row],[Loan Defaulters]]=1,"Default", "Good")</f>
        <v>Good</v>
      </c>
      <c r="AD665" s="3">
        <f t="shared" si="75"/>
        <v>4</v>
      </c>
      <c r="AE665" s="4">
        <v>12277.7</v>
      </c>
      <c r="AF665" s="4" t="str">
        <f>IF(fin_table[[#This Row],[Monthly Income]]&lt;3000, "Low Income", IF(fin_table[[#This Row],[Monthly Income]]&lt;=5000, "Middle Income", "High Income"))</f>
        <v>High Income</v>
      </c>
      <c r="AG665" t="s">
        <v>63</v>
      </c>
      <c r="AH665" t="s">
        <v>3636</v>
      </c>
      <c r="AI665" t="str">
        <f t="shared" si="76"/>
        <v>Low-Risk</v>
      </c>
    </row>
    <row r="666" spans="1:35" x14ac:dyDescent="0.35">
      <c r="A666" t="s">
        <v>2480</v>
      </c>
      <c r="B666" t="s">
        <v>2481</v>
      </c>
      <c r="C666" t="s">
        <v>2482</v>
      </c>
      <c r="D666" s="1">
        <v>44907</v>
      </c>
      <c r="E666" s="1" t="str">
        <f t="shared" si="70"/>
        <v>12</v>
      </c>
      <c r="F666" s="1" t="str">
        <f t="shared" si="71"/>
        <v>Dec</v>
      </c>
      <c r="G666" s="6" t="s">
        <v>23</v>
      </c>
      <c r="H666" s="5">
        <v>5513.91</v>
      </c>
      <c r="I666" s="5" t="str">
        <f>IF(fin_table[[#This Row],[Account Balance]]&lt;20000,"Active", "Not Active")</f>
        <v>Active</v>
      </c>
      <c r="J666" s="5">
        <v>1743.67</v>
      </c>
      <c r="K666" s="5" t="str">
        <f t="shared" si="72"/>
        <v>Low</v>
      </c>
      <c r="L666" s="6" t="s">
        <v>24</v>
      </c>
      <c r="M666">
        <v>40</v>
      </c>
      <c r="N666" s="6" t="str">
        <f t="shared" si="73"/>
        <v>Middle-Aged</v>
      </c>
      <c r="O666" s="6" t="s">
        <v>42</v>
      </c>
      <c r="P666" s="6" t="s">
        <v>36</v>
      </c>
      <c r="Q666" t="s">
        <v>1576</v>
      </c>
      <c r="R666" s="6" t="s">
        <v>52</v>
      </c>
      <c r="S666" s="6" t="s">
        <v>62</v>
      </c>
      <c r="T666" s="14">
        <v>4.0300000000000002E-2</v>
      </c>
      <c r="U666">
        <v>4.03</v>
      </c>
      <c r="V666" t="str">
        <f>IF(fin_table[[#This Row],[Interest Rate(%)]]&gt;4,"high","low")</f>
        <v>high</v>
      </c>
      <c r="W666" s="5">
        <v>6377.25</v>
      </c>
      <c r="X666" s="5">
        <f>fin_table[[#This Row],[Interest Rate]]*fin_table[[#This Row],[Loan Amount]]</f>
        <v>257.003175</v>
      </c>
      <c r="Y666">
        <v>13</v>
      </c>
      <c r="Z666" s="3">
        <v>696</v>
      </c>
      <c r="AA666" s="3" t="str">
        <f t="shared" si="74"/>
        <v>Good</v>
      </c>
      <c r="AB666" s="3" cm="1">
        <f t="array" ref="AB666">_xlfn.IFS(fin_table[[#This Row],[Transaction Status]]="Failed", 1, fin_table[[#This Row],[Transaction Status]]="Completed",0,fin_table[[#This Row],[Transaction Status]]="Pending",2)</f>
        <v>2</v>
      </c>
      <c r="AC666" s="3" t="str">
        <f>IF(fin_table[[#This Row],[Loan Defaulters]]=1,"Default", "Good")</f>
        <v>Good</v>
      </c>
      <c r="AD666" s="3">
        <f t="shared" si="75"/>
        <v>3</v>
      </c>
      <c r="AE666" s="4">
        <v>8371.4500000000007</v>
      </c>
      <c r="AF666" s="4" t="str">
        <f>IF(fin_table[[#This Row],[Monthly Income]]&lt;3000, "Low Income", IF(fin_table[[#This Row],[Monthly Income]]&lt;=5000, "Middle Income", "High Income"))</f>
        <v>High Income</v>
      </c>
      <c r="AG666" t="s">
        <v>63</v>
      </c>
      <c r="AH666" t="s">
        <v>3636</v>
      </c>
      <c r="AI666" t="str">
        <f t="shared" si="76"/>
        <v>Low-Risk</v>
      </c>
    </row>
    <row r="667" spans="1:35" x14ac:dyDescent="0.35">
      <c r="A667" t="s">
        <v>2483</v>
      </c>
      <c r="B667" t="s">
        <v>2484</v>
      </c>
      <c r="C667" t="s">
        <v>2485</v>
      </c>
      <c r="D667" s="1">
        <v>44794</v>
      </c>
      <c r="E667" s="1" t="str">
        <f t="shared" si="70"/>
        <v>21</v>
      </c>
      <c r="F667" s="1" t="str">
        <f t="shared" si="71"/>
        <v>Aug</v>
      </c>
      <c r="G667" s="6" t="s">
        <v>34</v>
      </c>
      <c r="H667" s="5">
        <v>1885.05</v>
      </c>
      <c r="I667" s="5" t="str">
        <f>IF(fin_table[[#This Row],[Account Balance]]&lt;20000,"Active", "Not Active")</f>
        <v>Not Active</v>
      </c>
      <c r="J667" s="5">
        <v>29489.439999999999</v>
      </c>
      <c r="K667" s="5" t="str">
        <f t="shared" si="72"/>
        <v>Medium</v>
      </c>
      <c r="L667" s="6" t="s">
        <v>125</v>
      </c>
      <c r="M667">
        <v>23</v>
      </c>
      <c r="N667" s="6" t="str">
        <f t="shared" si="73"/>
        <v>Young Adults</v>
      </c>
      <c r="O667" s="6" t="s">
        <v>25</v>
      </c>
      <c r="P667" s="6" t="s">
        <v>36</v>
      </c>
      <c r="Q667" t="s">
        <v>2354</v>
      </c>
      <c r="R667" s="6" t="s">
        <v>28</v>
      </c>
      <c r="S667" s="6" t="s">
        <v>44</v>
      </c>
      <c r="T667" s="14">
        <v>2.4299999999999999E-2</v>
      </c>
      <c r="U667">
        <v>2.4300000000000002</v>
      </c>
      <c r="V667" t="str">
        <f>IF(fin_table[[#This Row],[Interest Rate(%)]]&gt;4,"high","low")</f>
        <v>low</v>
      </c>
      <c r="W667" s="5">
        <v>26681.654999999999</v>
      </c>
      <c r="X667" s="5">
        <f>fin_table[[#This Row],[Interest Rate]]*fin_table[[#This Row],[Loan Amount]]</f>
        <v>648.36421649999988</v>
      </c>
      <c r="Y667">
        <v>13</v>
      </c>
      <c r="Z667" s="3">
        <v>326</v>
      </c>
      <c r="AA667" s="3" t="str">
        <f t="shared" si="74"/>
        <v>Poor</v>
      </c>
      <c r="AB667" s="3" cm="1">
        <f t="array" ref="AB667">_xlfn.IFS(fin_table[[#This Row],[Transaction Status]]="Failed", 1, fin_table[[#This Row],[Transaction Status]]="Completed",0,fin_table[[#This Row],[Transaction Status]]="Pending",2)</f>
        <v>0</v>
      </c>
      <c r="AC667" s="3" t="str">
        <f>IF(fin_table[[#This Row],[Loan Defaulters]]=1,"Default", "Good")</f>
        <v>Good</v>
      </c>
      <c r="AD667" s="3">
        <f t="shared" si="75"/>
        <v>1</v>
      </c>
      <c r="AE667" s="4">
        <v>3125.64</v>
      </c>
      <c r="AF667" s="4" t="str">
        <f>IF(fin_table[[#This Row],[Monthly Income]]&lt;3000, "Low Income", IF(fin_table[[#This Row],[Monthly Income]]&lt;=5000, "Middle Income", "High Income"))</f>
        <v>Middle Income</v>
      </c>
      <c r="AG667" t="s">
        <v>45</v>
      </c>
      <c r="AH667" t="s">
        <v>3635</v>
      </c>
      <c r="AI667" t="str">
        <f t="shared" si="76"/>
        <v>Low-Risk</v>
      </c>
    </row>
    <row r="668" spans="1:35" x14ac:dyDescent="0.35">
      <c r="A668" t="s">
        <v>2486</v>
      </c>
      <c r="B668" t="s">
        <v>2487</v>
      </c>
      <c r="C668" t="s">
        <v>2488</v>
      </c>
      <c r="D668" s="1">
        <v>45072</v>
      </c>
      <c r="E668" s="1" t="str">
        <f t="shared" si="70"/>
        <v>26</v>
      </c>
      <c r="F668" s="1" t="str">
        <f t="shared" si="71"/>
        <v>May</v>
      </c>
      <c r="G668" s="6" t="s">
        <v>34</v>
      </c>
      <c r="H668" s="5">
        <v>4640.12</v>
      </c>
      <c r="I668" s="5" t="str">
        <f>IF(fin_table[[#This Row],[Account Balance]]&lt;20000,"Active", "Not Active")</f>
        <v>Active</v>
      </c>
      <c r="J668" s="5">
        <v>6186.81</v>
      </c>
      <c r="K668" s="5" t="str">
        <f t="shared" si="72"/>
        <v>Low</v>
      </c>
      <c r="L668" s="6" t="s">
        <v>125</v>
      </c>
      <c r="M668">
        <v>68</v>
      </c>
      <c r="N668" s="6" t="str">
        <f t="shared" si="73"/>
        <v>Seniors</v>
      </c>
      <c r="O668" s="6" t="s">
        <v>42</v>
      </c>
      <c r="P668" s="6" t="s">
        <v>50</v>
      </c>
      <c r="Q668" t="s">
        <v>2489</v>
      </c>
      <c r="R668" s="6" t="s">
        <v>38</v>
      </c>
      <c r="S668" s="6" t="s">
        <v>44</v>
      </c>
      <c r="T668" s="14">
        <v>4.9599999999999998E-2</v>
      </c>
      <c r="U668">
        <v>4.96</v>
      </c>
      <c r="V668" t="str">
        <f>IF(fin_table[[#This Row],[Interest Rate(%)]]&gt;4,"high","low")</f>
        <v>high</v>
      </c>
      <c r="W668" s="5">
        <v>27438.51</v>
      </c>
      <c r="X668" s="5">
        <f>fin_table[[#This Row],[Interest Rate]]*fin_table[[#This Row],[Loan Amount]]</f>
        <v>1360.9500959999998</v>
      </c>
      <c r="Y668">
        <v>4</v>
      </c>
      <c r="Z668" s="3">
        <v>671</v>
      </c>
      <c r="AA668" s="3" t="str">
        <f t="shared" si="74"/>
        <v>Good</v>
      </c>
      <c r="AB668" s="3" cm="1">
        <f t="array" ref="AB668">_xlfn.IFS(fin_table[[#This Row],[Transaction Status]]="Failed", 1, fin_table[[#This Row],[Transaction Status]]="Completed",0,fin_table[[#This Row],[Transaction Status]]="Pending",2)</f>
        <v>0</v>
      </c>
      <c r="AC668" s="3" t="str">
        <f>IF(fin_table[[#This Row],[Loan Defaulters]]=1,"Default", "Good")</f>
        <v>Good</v>
      </c>
      <c r="AD668" s="3">
        <f t="shared" si="75"/>
        <v>3</v>
      </c>
      <c r="AE668" s="4">
        <v>9701.7900000000009</v>
      </c>
      <c r="AF668" s="4" t="str">
        <f>IF(fin_table[[#This Row],[Monthly Income]]&lt;3000, "Low Income", IF(fin_table[[#This Row],[Monthly Income]]&lt;=5000, "Middle Income", "High Income"))</f>
        <v>High Income</v>
      </c>
      <c r="AG668" t="s">
        <v>30</v>
      </c>
      <c r="AH668" t="s">
        <v>3636</v>
      </c>
      <c r="AI668" t="str">
        <f t="shared" si="76"/>
        <v>Low-Risk</v>
      </c>
    </row>
    <row r="669" spans="1:35" x14ac:dyDescent="0.35">
      <c r="A669" t="s">
        <v>2490</v>
      </c>
      <c r="B669" t="s">
        <v>2491</v>
      </c>
      <c r="C669" t="s">
        <v>2492</v>
      </c>
      <c r="D669" s="1">
        <v>44563</v>
      </c>
      <c r="E669" s="1" t="str">
        <f t="shared" si="70"/>
        <v>02</v>
      </c>
      <c r="F669" s="1" t="str">
        <f t="shared" si="71"/>
        <v>Jan</v>
      </c>
      <c r="G669" s="6" t="s">
        <v>34</v>
      </c>
      <c r="H669" s="5">
        <v>5652.66</v>
      </c>
      <c r="I669" s="5" t="str">
        <f>IF(fin_table[[#This Row],[Account Balance]]&lt;20000,"Active", "Not Active")</f>
        <v>Not Active</v>
      </c>
      <c r="J669" s="5">
        <v>43777.95</v>
      </c>
      <c r="K669" s="5" t="str">
        <f t="shared" si="72"/>
        <v>Medium</v>
      </c>
      <c r="L669" s="6" t="s">
        <v>125</v>
      </c>
      <c r="M669">
        <v>30</v>
      </c>
      <c r="N669" s="6" t="str">
        <f t="shared" si="73"/>
        <v>Adults</v>
      </c>
      <c r="O669" s="6" t="s">
        <v>42</v>
      </c>
      <c r="P669" s="6" t="s">
        <v>50</v>
      </c>
      <c r="Q669" t="s">
        <v>2493</v>
      </c>
      <c r="R669" s="6" t="s">
        <v>38</v>
      </c>
      <c r="S669" s="6" t="s">
        <v>62</v>
      </c>
      <c r="T669" s="14">
        <v>2.0500000000000001E-2</v>
      </c>
      <c r="U669">
        <v>2.0499999999999998</v>
      </c>
      <c r="V669" t="str">
        <f>IF(fin_table[[#This Row],[Interest Rate(%)]]&gt;4,"high","low")</f>
        <v>low</v>
      </c>
      <c r="W669" s="5">
        <v>7027.68</v>
      </c>
      <c r="X669" s="5">
        <f>fin_table[[#This Row],[Interest Rate]]*fin_table[[#This Row],[Loan Amount]]</f>
        <v>144.06744</v>
      </c>
      <c r="Y669">
        <v>27</v>
      </c>
      <c r="Z669" s="3">
        <v>396</v>
      </c>
      <c r="AA669" s="3" t="str">
        <f t="shared" si="74"/>
        <v>Poor</v>
      </c>
      <c r="AB669" s="3" cm="1">
        <f t="array" ref="AB669">_xlfn.IFS(fin_table[[#This Row],[Transaction Status]]="Failed", 1, fin_table[[#This Row],[Transaction Status]]="Completed",0,fin_table[[#This Row],[Transaction Status]]="Pending",2)</f>
        <v>2</v>
      </c>
      <c r="AC669" s="3" t="str">
        <f>IF(fin_table[[#This Row],[Loan Defaulters]]=1,"Default", "Good")</f>
        <v>Good</v>
      </c>
      <c r="AD669" s="3">
        <f t="shared" si="75"/>
        <v>1</v>
      </c>
      <c r="AE669" s="4">
        <v>11863.93</v>
      </c>
      <c r="AF669" s="4" t="str">
        <f>IF(fin_table[[#This Row],[Monthly Income]]&lt;3000, "Low Income", IF(fin_table[[#This Row],[Monthly Income]]&lt;=5000, "Middle Income", "High Income"))</f>
        <v>High Income</v>
      </c>
      <c r="AG669" t="s">
        <v>45</v>
      </c>
      <c r="AH669" t="s">
        <v>3636</v>
      </c>
      <c r="AI669" t="str">
        <f t="shared" si="76"/>
        <v>Low-Risk</v>
      </c>
    </row>
    <row r="670" spans="1:35" x14ac:dyDescent="0.35">
      <c r="A670" t="s">
        <v>2494</v>
      </c>
      <c r="B670" t="s">
        <v>2495</v>
      </c>
      <c r="C670" t="s">
        <v>2496</v>
      </c>
      <c r="D670" s="1">
        <v>45109</v>
      </c>
      <c r="E670" s="1" t="str">
        <f t="shared" si="70"/>
        <v>02</v>
      </c>
      <c r="F670" s="1" t="str">
        <f t="shared" si="71"/>
        <v>Jul</v>
      </c>
      <c r="G670" s="6" t="s">
        <v>71</v>
      </c>
      <c r="H670" s="5">
        <v>8653.2199999999993</v>
      </c>
      <c r="I670" s="5" t="str">
        <f>IF(fin_table[[#This Row],[Account Balance]]&lt;20000,"Active", "Not Active")</f>
        <v>Not Active</v>
      </c>
      <c r="J670" s="5">
        <v>26634.01</v>
      </c>
      <c r="K670" s="5" t="str">
        <f t="shared" si="72"/>
        <v>Medium</v>
      </c>
      <c r="L670" s="6" t="s">
        <v>35</v>
      </c>
      <c r="M670">
        <v>66</v>
      </c>
      <c r="N670" s="6" t="str">
        <f t="shared" si="73"/>
        <v>Seniors</v>
      </c>
      <c r="O670" s="6" t="s">
        <v>25</v>
      </c>
      <c r="P670" s="6" t="s">
        <v>50</v>
      </c>
      <c r="Q670" t="s">
        <v>383</v>
      </c>
      <c r="R670" s="6" t="s">
        <v>28</v>
      </c>
      <c r="S670" s="6" t="s">
        <v>62</v>
      </c>
      <c r="T670" s="14">
        <v>2.0199999999999999E-2</v>
      </c>
      <c r="U670">
        <v>2.02</v>
      </c>
      <c r="V670" t="str">
        <f>IF(fin_table[[#This Row],[Interest Rate(%)]]&gt;4,"high","low")</f>
        <v>low</v>
      </c>
      <c r="W670" s="5">
        <v>26681.654999999999</v>
      </c>
      <c r="X670" s="5">
        <f>fin_table[[#This Row],[Interest Rate]]*fin_table[[#This Row],[Loan Amount]]</f>
        <v>538.96943099999999</v>
      </c>
      <c r="Y670">
        <v>13</v>
      </c>
      <c r="Z670" s="3">
        <v>828</v>
      </c>
      <c r="AA670" s="3" t="str">
        <f t="shared" si="74"/>
        <v>Excellent</v>
      </c>
      <c r="AB670" s="3" cm="1">
        <f t="array" ref="AB670">_xlfn.IFS(fin_table[[#This Row],[Transaction Status]]="Failed", 1, fin_table[[#This Row],[Transaction Status]]="Completed",0,fin_table[[#This Row],[Transaction Status]]="Pending",2)</f>
        <v>2</v>
      </c>
      <c r="AC670" s="3" t="str">
        <f>IF(fin_table[[#This Row],[Loan Defaulters]]=1,"Default", "Good")</f>
        <v>Good</v>
      </c>
      <c r="AD670" s="3">
        <f t="shared" si="75"/>
        <v>5</v>
      </c>
      <c r="AE670" s="4">
        <v>4479.32</v>
      </c>
      <c r="AF670" s="4" t="str">
        <f>IF(fin_table[[#This Row],[Monthly Income]]&lt;3000, "Low Income", IF(fin_table[[#This Row],[Monthly Income]]&lt;=5000, "Middle Income", "High Income"))</f>
        <v>Middle Income</v>
      </c>
      <c r="AG670" t="s">
        <v>30</v>
      </c>
      <c r="AH670" t="s">
        <v>3635</v>
      </c>
      <c r="AI670" t="str">
        <f t="shared" si="76"/>
        <v>Low-Risk</v>
      </c>
    </row>
    <row r="671" spans="1:35" x14ac:dyDescent="0.35">
      <c r="A671" t="s">
        <v>2497</v>
      </c>
      <c r="B671" t="s">
        <v>2498</v>
      </c>
      <c r="C671" t="s">
        <v>2499</v>
      </c>
      <c r="D671" s="1">
        <v>44853</v>
      </c>
      <c r="E671" s="1" t="str">
        <f t="shared" si="70"/>
        <v>19</v>
      </c>
      <c r="F671" s="1" t="str">
        <f t="shared" si="71"/>
        <v>Oct</v>
      </c>
      <c r="G671" s="6" t="s">
        <v>56</v>
      </c>
      <c r="H671" s="5">
        <v>4865.2</v>
      </c>
      <c r="I671" s="5" t="str">
        <f>IF(fin_table[[#This Row],[Account Balance]]&lt;20000,"Active", "Not Active")</f>
        <v>Not Active</v>
      </c>
      <c r="J671" s="5">
        <v>35284.81</v>
      </c>
      <c r="K671" s="5" t="str">
        <f t="shared" si="72"/>
        <v>Medium</v>
      </c>
      <c r="L671" s="6" t="s">
        <v>125</v>
      </c>
      <c r="M671">
        <v>40</v>
      </c>
      <c r="N671" s="6" t="str">
        <f t="shared" si="73"/>
        <v>Middle-Aged</v>
      </c>
      <c r="O671" s="6" t="s">
        <v>25</v>
      </c>
      <c r="P671" s="6" t="s">
        <v>26</v>
      </c>
      <c r="Q671" t="s">
        <v>194</v>
      </c>
      <c r="R671" s="6" t="s">
        <v>38</v>
      </c>
      <c r="S671" s="6" t="s">
        <v>44</v>
      </c>
      <c r="T671" s="14">
        <v>4.0899999999999999E-2</v>
      </c>
      <c r="U671">
        <v>4.09</v>
      </c>
      <c r="V671" t="str">
        <f>IF(fin_table[[#This Row],[Interest Rate(%)]]&gt;4,"high","low")</f>
        <v>high</v>
      </c>
      <c r="W671" s="5">
        <v>26681.654999999999</v>
      </c>
      <c r="X671" s="5">
        <f>fin_table[[#This Row],[Interest Rate]]*fin_table[[#This Row],[Loan Amount]]</f>
        <v>1091.2796894999999</v>
      </c>
      <c r="Y671">
        <v>24</v>
      </c>
      <c r="Z671" s="3">
        <v>485</v>
      </c>
      <c r="AA671" s="3" t="str">
        <f t="shared" si="74"/>
        <v>Poor</v>
      </c>
      <c r="AB671" s="3" cm="1">
        <f t="array" ref="AB671">_xlfn.IFS(fin_table[[#This Row],[Transaction Status]]="Failed", 1, fin_table[[#This Row],[Transaction Status]]="Completed",0,fin_table[[#This Row],[Transaction Status]]="Pending",2)</f>
        <v>0</v>
      </c>
      <c r="AC671" s="3" t="str">
        <f>IF(fin_table[[#This Row],[Loan Defaulters]]=1,"Default", "Good")</f>
        <v>Good</v>
      </c>
      <c r="AD671" s="3">
        <f t="shared" si="75"/>
        <v>1</v>
      </c>
      <c r="AE671" s="4">
        <v>9386.7099999999991</v>
      </c>
      <c r="AF671" s="4" t="str">
        <f>IF(fin_table[[#This Row],[Monthly Income]]&lt;3000, "Low Income", IF(fin_table[[#This Row],[Monthly Income]]&lt;=5000, "Middle Income", "High Income"))</f>
        <v>High Income</v>
      </c>
      <c r="AG671" t="s">
        <v>30</v>
      </c>
      <c r="AH671" t="s">
        <v>3635</v>
      </c>
      <c r="AI671" t="str">
        <f t="shared" si="76"/>
        <v>Low-Risk</v>
      </c>
    </row>
    <row r="672" spans="1:35" x14ac:dyDescent="0.35">
      <c r="A672" t="s">
        <v>2500</v>
      </c>
      <c r="B672" t="s">
        <v>2501</v>
      </c>
      <c r="C672" t="s">
        <v>2502</v>
      </c>
      <c r="D672" s="1">
        <v>45101</v>
      </c>
      <c r="E672" s="1" t="str">
        <f t="shared" si="70"/>
        <v>24</v>
      </c>
      <c r="F672" s="1" t="str">
        <f t="shared" si="71"/>
        <v>Jun</v>
      </c>
      <c r="G672" s="6" t="s">
        <v>23</v>
      </c>
      <c r="H672" s="5">
        <v>8986.98</v>
      </c>
      <c r="I672" s="5" t="str">
        <f>IF(fin_table[[#This Row],[Account Balance]]&lt;20000,"Active", "Not Active")</f>
        <v>Not Active</v>
      </c>
      <c r="J672" s="5">
        <v>21132</v>
      </c>
      <c r="K672" s="5" t="str">
        <f t="shared" si="72"/>
        <v>Medium</v>
      </c>
      <c r="L672" s="6" t="s">
        <v>100</v>
      </c>
      <c r="M672">
        <v>26</v>
      </c>
      <c r="N672" s="6" t="str">
        <f t="shared" si="73"/>
        <v>Adults</v>
      </c>
      <c r="O672" s="6" t="s">
        <v>25</v>
      </c>
      <c r="P672" s="6" t="s">
        <v>36</v>
      </c>
      <c r="Q672" t="s">
        <v>2503</v>
      </c>
      <c r="R672" s="6" t="s">
        <v>38</v>
      </c>
      <c r="S672" s="6" t="s">
        <v>44</v>
      </c>
      <c r="T672" s="14">
        <v>2.7400000000000001E-2</v>
      </c>
      <c r="U672">
        <v>2.74</v>
      </c>
      <c r="V672" t="str">
        <f>IF(fin_table[[#This Row],[Interest Rate(%)]]&gt;4,"high","low")</f>
        <v>low</v>
      </c>
      <c r="W672" s="5">
        <v>26681.654999999999</v>
      </c>
      <c r="X672" s="5">
        <f>fin_table[[#This Row],[Interest Rate]]*fin_table[[#This Row],[Loan Amount]]</f>
        <v>731.07734700000003</v>
      </c>
      <c r="Y672">
        <v>12</v>
      </c>
      <c r="Z672" s="3">
        <v>514</v>
      </c>
      <c r="AA672" s="3" t="str">
        <f t="shared" si="74"/>
        <v>Poor</v>
      </c>
      <c r="AB672" s="3" cm="1">
        <f t="array" ref="AB672">_xlfn.IFS(fin_table[[#This Row],[Transaction Status]]="Failed", 1, fin_table[[#This Row],[Transaction Status]]="Completed",0,fin_table[[#This Row],[Transaction Status]]="Pending",2)</f>
        <v>0</v>
      </c>
      <c r="AC672" s="3" t="str">
        <f>IF(fin_table[[#This Row],[Loan Defaulters]]=1,"Default", "Good")</f>
        <v>Good</v>
      </c>
      <c r="AD672" s="3">
        <f t="shared" si="75"/>
        <v>1</v>
      </c>
      <c r="AE672" s="4">
        <v>12584.74</v>
      </c>
      <c r="AF672" s="4" t="str">
        <f>IF(fin_table[[#This Row],[Monthly Income]]&lt;3000, "Low Income", IF(fin_table[[#This Row],[Monthly Income]]&lt;=5000, "Middle Income", "High Income"))</f>
        <v>High Income</v>
      </c>
      <c r="AG672" t="s">
        <v>45</v>
      </c>
      <c r="AH672" t="s">
        <v>3635</v>
      </c>
      <c r="AI672" t="str">
        <f t="shared" si="76"/>
        <v>Low-Risk</v>
      </c>
    </row>
    <row r="673" spans="1:35" x14ac:dyDescent="0.35">
      <c r="A673" t="s">
        <v>2504</v>
      </c>
      <c r="B673" t="s">
        <v>2505</v>
      </c>
      <c r="C673" t="s">
        <v>2506</v>
      </c>
      <c r="D673" s="1">
        <v>44979</v>
      </c>
      <c r="E673" s="1" t="str">
        <f t="shared" si="70"/>
        <v>22</v>
      </c>
      <c r="F673" s="1" t="str">
        <f t="shared" si="71"/>
        <v>Feb</v>
      </c>
      <c r="G673" s="6" t="s">
        <v>23</v>
      </c>
      <c r="H673" s="5">
        <v>6776.05</v>
      </c>
      <c r="I673" s="5" t="str">
        <f>IF(fin_table[[#This Row],[Account Balance]]&lt;20000,"Active", "Not Active")</f>
        <v>Not Active</v>
      </c>
      <c r="J673" s="5">
        <v>28468.41</v>
      </c>
      <c r="K673" s="5" t="str">
        <f t="shared" si="72"/>
        <v>Medium</v>
      </c>
      <c r="L673" s="6" t="s">
        <v>125</v>
      </c>
      <c r="M673">
        <v>34</v>
      </c>
      <c r="N673" s="6" t="str">
        <f t="shared" si="73"/>
        <v>Adults</v>
      </c>
      <c r="O673" s="6" t="s">
        <v>42</v>
      </c>
      <c r="P673" s="6" t="s">
        <v>26</v>
      </c>
      <c r="Q673" t="s">
        <v>2507</v>
      </c>
      <c r="R673" s="6" t="s">
        <v>38</v>
      </c>
      <c r="S673" s="6" t="s">
        <v>62</v>
      </c>
      <c r="T673" s="14">
        <v>2.3199999999999998E-2</v>
      </c>
      <c r="U673">
        <v>2.3199999999999998</v>
      </c>
      <c r="V673" t="str">
        <f>IF(fin_table[[#This Row],[Interest Rate(%)]]&gt;4,"high","low")</f>
        <v>low</v>
      </c>
      <c r="W673" s="5">
        <v>38288.75</v>
      </c>
      <c r="X673" s="5">
        <f>fin_table[[#This Row],[Interest Rate]]*fin_table[[#This Row],[Loan Amount]]</f>
        <v>888.29899999999998</v>
      </c>
      <c r="Y673">
        <v>13</v>
      </c>
      <c r="Z673" s="3">
        <v>550</v>
      </c>
      <c r="AA673" s="3" t="str">
        <f t="shared" si="74"/>
        <v>Poor</v>
      </c>
      <c r="AB673" s="3" cm="1">
        <f t="array" ref="AB673">_xlfn.IFS(fin_table[[#This Row],[Transaction Status]]="Failed", 1, fin_table[[#This Row],[Transaction Status]]="Completed",0,fin_table[[#This Row],[Transaction Status]]="Pending",2)</f>
        <v>2</v>
      </c>
      <c r="AC673" s="3" t="str">
        <f>IF(fin_table[[#This Row],[Loan Defaulters]]=1,"Default", "Good")</f>
        <v>Good</v>
      </c>
      <c r="AD673" s="3">
        <f t="shared" si="75"/>
        <v>1</v>
      </c>
      <c r="AE673" s="4">
        <v>11987.22</v>
      </c>
      <c r="AF673" s="4" t="str">
        <f>IF(fin_table[[#This Row],[Monthly Income]]&lt;3000, "Low Income", IF(fin_table[[#This Row],[Monthly Income]]&lt;=5000, "Middle Income", "High Income"))</f>
        <v>High Income</v>
      </c>
      <c r="AG673" t="s">
        <v>30</v>
      </c>
      <c r="AH673" t="s">
        <v>3636</v>
      </c>
      <c r="AI673" t="str">
        <f t="shared" si="76"/>
        <v>High-Risk</v>
      </c>
    </row>
    <row r="674" spans="1:35" x14ac:dyDescent="0.35">
      <c r="A674" t="s">
        <v>2508</v>
      </c>
      <c r="B674" t="s">
        <v>2509</v>
      </c>
      <c r="C674" t="s">
        <v>2510</v>
      </c>
      <c r="D674" s="1">
        <v>44916</v>
      </c>
      <c r="E674" s="1" t="str">
        <f t="shared" si="70"/>
        <v>21</v>
      </c>
      <c r="F674" s="1" t="str">
        <f t="shared" si="71"/>
        <v>Dec</v>
      </c>
      <c r="G674" s="6" t="s">
        <v>56</v>
      </c>
      <c r="H674" s="5">
        <v>1456.29</v>
      </c>
      <c r="I674" s="5" t="str">
        <f>IF(fin_table[[#This Row],[Account Balance]]&lt;20000,"Active", "Not Active")</f>
        <v>Not Active</v>
      </c>
      <c r="J674" s="5">
        <v>47190.3</v>
      </c>
      <c r="K674" s="5" t="str">
        <f t="shared" si="72"/>
        <v>Medium</v>
      </c>
      <c r="L674" s="6" t="s">
        <v>24</v>
      </c>
      <c r="M674">
        <v>19</v>
      </c>
      <c r="N674" s="6" t="str">
        <f t="shared" si="73"/>
        <v>Young Adults</v>
      </c>
      <c r="O674" s="6" t="s">
        <v>25</v>
      </c>
      <c r="P674" s="6" t="s">
        <v>36</v>
      </c>
      <c r="Q674" t="s">
        <v>2151</v>
      </c>
      <c r="R674" s="6" t="s">
        <v>28</v>
      </c>
      <c r="S674" s="6" t="s">
        <v>29</v>
      </c>
      <c r="T674" s="14">
        <v>1.7100000000000001E-2</v>
      </c>
      <c r="U674">
        <v>1.71</v>
      </c>
      <c r="V674" t="str">
        <f>IF(fin_table[[#This Row],[Interest Rate(%)]]&gt;4,"high","low")</f>
        <v>low</v>
      </c>
      <c r="W674" s="5">
        <v>16349</v>
      </c>
      <c r="X674" s="5">
        <f>fin_table[[#This Row],[Interest Rate]]*fin_table[[#This Row],[Loan Amount]]</f>
        <v>279.56790000000001</v>
      </c>
      <c r="Y674">
        <v>16</v>
      </c>
      <c r="Z674" s="3">
        <v>515</v>
      </c>
      <c r="AA674" s="3" t="str">
        <f t="shared" si="74"/>
        <v>Poor</v>
      </c>
      <c r="AB674" s="3" cm="1">
        <f t="array" ref="AB674">_xlfn.IFS(fin_table[[#This Row],[Transaction Status]]="Failed", 1, fin_table[[#This Row],[Transaction Status]]="Completed",0,fin_table[[#This Row],[Transaction Status]]="Pending",2)</f>
        <v>1</v>
      </c>
      <c r="AC674" s="3" t="str">
        <f>IF(fin_table[[#This Row],[Loan Defaulters]]=1,"Default", "Good")</f>
        <v>Default</v>
      </c>
      <c r="AD674" s="3">
        <f t="shared" si="75"/>
        <v>1</v>
      </c>
      <c r="AE674" s="4">
        <v>12438.9</v>
      </c>
      <c r="AF674" s="4" t="str">
        <f>IF(fin_table[[#This Row],[Monthly Income]]&lt;3000, "Low Income", IF(fin_table[[#This Row],[Monthly Income]]&lt;=5000, "Middle Income", "High Income"))</f>
        <v>High Income</v>
      </c>
      <c r="AG674" t="s">
        <v>30</v>
      </c>
      <c r="AH674" t="s">
        <v>3636</v>
      </c>
      <c r="AI674" t="str">
        <f t="shared" si="76"/>
        <v>Low-Risk</v>
      </c>
    </row>
    <row r="675" spans="1:35" x14ac:dyDescent="0.35">
      <c r="A675" t="s">
        <v>2511</v>
      </c>
      <c r="B675" t="s">
        <v>2512</v>
      </c>
      <c r="C675" t="s">
        <v>2513</v>
      </c>
      <c r="D675" s="1">
        <v>44898</v>
      </c>
      <c r="E675" s="1" t="str">
        <f t="shared" si="70"/>
        <v>03</v>
      </c>
      <c r="F675" s="1" t="str">
        <f t="shared" si="71"/>
        <v>Dec</v>
      </c>
      <c r="G675" s="6" t="s">
        <v>23</v>
      </c>
      <c r="H675" s="5">
        <v>9950.32</v>
      </c>
      <c r="I675" s="5" t="str">
        <f>IF(fin_table[[#This Row],[Account Balance]]&lt;20000,"Active", "Not Active")</f>
        <v>Active</v>
      </c>
      <c r="J675" s="5">
        <v>5053.97</v>
      </c>
      <c r="K675" s="5" t="str">
        <f t="shared" si="72"/>
        <v>Low</v>
      </c>
      <c r="L675" s="6" t="s">
        <v>100</v>
      </c>
      <c r="M675">
        <v>36</v>
      </c>
      <c r="N675" s="6" t="str">
        <f t="shared" si="73"/>
        <v>Middle-Aged</v>
      </c>
      <c r="O675" s="6" t="s">
        <v>42</v>
      </c>
      <c r="P675" s="6" t="s">
        <v>50</v>
      </c>
      <c r="Q675" t="s">
        <v>2514</v>
      </c>
      <c r="R675" s="6" t="s">
        <v>28</v>
      </c>
      <c r="S675" s="6" t="s">
        <v>62</v>
      </c>
      <c r="T675" s="14">
        <v>4.0599999999999997E-2</v>
      </c>
      <c r="U675">
        <v>4.0599999999999996</v>
      </c>
      <c r="V675" t="str">
        <f>IF(fin_table[[#This Row],[Interest Rate(%)]]&gt;4,"high","low")</f>
        <v>high</v>
      </c>
      <c r="W675" s="5">
        <v>16723.29</v>
      </c>
      <c r="X675" s="5">
        <f>fin_table[[#This Row],[Interest Rate]]*fin_table[[#This Row],[Loan Amount]]</f>
        <v>678.96557399999995</v>
      </c>
      <c r="Y675">
        <v>13</v>
      </c>
      <c r="Z675" s="3">
        <v>328</v>
      </c>
      <c r="AA675" s="3" t="str">
        <f t="shared" si="74"/>
        <v>Poor</v>
      </c>
      <c r="AB675" s="3" cm="1">
        <f t="array" ref="AB675">_xlfn.IFS(fin_table[[#This Row],[Transaction Status]]="Failed", 1, fin_table[[#This Row],[Transaction Status]]="Completed",0,fin_table[[#This Row],[Transaction Status]]="Pending",2)</f>
        <v>2</v>
      </c>
      <c r="AC675" s="3" t="str">
        <f>IF(fin_table[[#This Row],[Loan Defaulters]]=1,"Default", "Good")</f>
        <v>Good</v>
      </c>
      <c r="AD675" s="3">
        <f t="shared" si="75"/>
        <v>1</v>
      </c>
      <c r="AE675" s="4">
        <v>13431.2</v>
      </c>
      <c r="AF675" s="4" t="str">
        <f>IF(fin_table[[#This Row],[Monthly Income]]&lt;3000, "Low Income", IF(fin_table[[#This Row],[Monthly Income]]&lt;=5000, "Middle Income", "High Income"))</f>
        <v>High Income</v>
      </c>
      <c r="AG675" t="s">
        <v>45</v>
      </c>
      <c r="AH675" t="s">
        <v>3636</v>
      </c>
      <c r="AI675" t="str">
        <f t="shared" si="76"/>
        <v>Low-Risk</v>
      </c>
    </row>
    <row r="676" spans="1:35" x14ac:dyDescent="0.35">
      <c r="A676" t="s">
        <v>2515</v>
      </c>
      <c r="B676" t="s">
        <v>2516</v>
      </c>
      <c r="C676" t="s">
        <v>2517</v>
      </c>
      <c r="D676" s="1">
        <v>44779</v>
      </c>
      <c r="E676" s="1" t="str">
        <f t="shared" si="70"/>
        <v>06</v>
      </c>
      <c r="F676" s="1" t="str">
        <f t="shared" si="71"/>
        <v>Aug</v>
      </c>
      <c r="G676" s="6" t="s">
        <v>71</v>
      </c>
      <c r="H676" s="5">
        <v>5319.6</v>
      </c>
      <c r="I676" s="5" t="str">
        <f>IF(fin_table[[#This Row],[Account Balance]]&lt;20000,"Active", "Not Active")</f>
        <v>Active</v>
      </c>
      <c r="J676" s="5">
        <v>13442.95</v>
      </c>
      <c r="K676" s="5" t="str">
        <f t="shared" si="72"/>
        <v>Medium</v>
      </c>
      <c r="L676" s="6" t="s">
        <v>125</v>
      </c>
      <c r="M676">
        <v>36</v>
      </c>
      <c r="N676" s="6" t="str">
        <f t="shared" si="73"/>
        <v>Middle-Aged</v>
      </c>
      <c r="O676" s="6" t="s">
        <v>25</v>
      </c>
      <c r="P676" s="6" t="s">
        <v>50</v>
      </c>
      <c r="Q676" t="s">
        <v>2518</v>
      </c>
      <c r="R676" s="6" t="s">
        <v>38</v>
      </c>
      <c r="S676" s="6" t="s">
        <v>29</v>
      </c>
      <c r="T676" s="14">
        <v>4.1500000000000002E-2</v>
      </c>
      <c r="U676">
        <v>4.1500000000000004</v>
      </c>
      <c r="V676" t="str">
        <f>IF(fin_table[[#This Row],[Interest Rate(%)]]&gt;4,"high","low")</f>
        <v>high</v>
      </c>
      <c r="W676" s="5">
        <v>26681.654999999999</v>
      </c>
      <c r="X676" s="5">
        <f>fin_table[[#This Row],[Interest Rate]]*fin_table[[#This Row],[Loan Amount]]</f>
        <v>1107.2886825</v>
      </c>
      <c r="Y676">
        <v>17</v>
      </c>
      <c r="Z676" s="3">
        <v>401</v>
      </c>
      <c r="AA676" s="3" t="str">
        <f t="shared" si="74"/>
        <v>Poor</v>
      </c>
      <c r="AB676" s="3" cm="1">
        <f t="array" ref="AB676">_xlfn.IFS(fin_table[[#This Row],[Transaction Status]]="Failed", 1, fin_table[[#This Row],[Transaction Status]]="Completed",0,fin_table[[#This Row],[Transaction Status]]="Pending",2)</f>
        <v>1</v>
      </c>
      <c r="AC676" s="3" t="str">
        <f>IF(fin_table[[#This Row],[Loan Defaulters]]=1,"Default", "Good")</f>
        <v>Default</v>
      </c>
      <c r="AD676" s="3">
        <f t="shared" si="75"/>
        <v>1</v>
      </c>
      <c r="AE676" s="4">
        <v>14189.87</v>
      </c>
      <c r="AF676" s="4" t="str">
        <f>IF(fin_table[[#This Row],[Monthly Income]]&lt;3000, "Low Income", IF(fin_table[[#This Row],[Monthly Income]]&lt;=5000, "Middle Income", "High Income"))</f>
        <v>High Income</v>
      </c>
      <c r="AG676" t="s">
        <v>63</v>
      </c>
      <c r="AH676" t="s">
        <v>3635</v>
      </c>
      <c r="AI676" t="str">
        <f t="shared" si="76"/>
        <v>Low-Risk</v>
      </c>
    </row>
    <row r="677" spans="1:35" x14ac:dyDescent="0.35">
      <c r="A677" t="s">
        <v>2519</v>
      </c>
      <c r="B677" t="s">
        <v>2520</v>
      </c>
      <c r="C677" t="s">
        <v>2521</v>
      </c>
      <c r="D677" s="1">
        <v>44654</v>
      </c>
      <c r="E677" s="1" t="str">
        <f t="shared" si="70"/>
        <v>03</v>
      </c>
      <c r="F677" s="1" t="str">
        <f t="shared" si="71"/>
        <v>Apr</v>
      </c>
      <c r="G677" s="6" t="s">
        <v>23</v>
      </c>
      <c r="H677" s="5">
        <v>3979.4</v>
      </c>
      <c r="I677" s="5" t="str">
        <f>IF(fin_table[[#This Row],[Account Balance]]&lt;20000,"Active", "Not Active")</f>
        <v>Not Active</v>
      </c>
      <c r="J677" s="5">
        <v>39219.43</v>
      </c>
      <c r="K677" s="5" t="str">
        <f t="shared" si="72"/>
        <v>Medium</v>
      </c>
      <c r="L677" s="6" t="s">
        <v>125</v>
      </c>
      <c r="M677">
        <v>24</v>
      </c>
      <c r="N677" s="6" t="str">
        <f t="shared" si="73"/>
        <v>Young Adults</v>
      </c>
      <c r="O677" s="6" t="s">
        <v>25</v>
      </c>
      <c r="P677" s="6" t="s">
        <v>50</v>
      </c>
      <c r="Q677" t="s">
        <v>620</v>
      </c>
      <c r="R677" s="6" t="s">
        <v>38</v>
      </c>
      <c r="S677" s="6" t="s">
        <v>44</v>
      </c>
      <c r="T677" s="14">
        <v>3.27E-2</v>
      </c>
      <c r="U677">
        <v>3.27</v>
      </c>
      <c r="V677" t="str">
        <f>IF(fin_table[[#This Row],[Interest Rate(%)]]&gt;4,"high","low")</f>
        <v>low</v>
      </c>
      <c r="W677" s="5">
        <v>10291.98</v>
      </c>
      <c r="X677" s="5">
        <f>fin_table[[#This Row],[Interest Rate]]*fin_table[[#This Row],[Loan Amount]]</f>
        <v>336.54774599999996</v>
      </c>
      <c r="Y677">
        <v>21</v>
      </c>
      <c r="Z677" s="3">
        <v>422</v>
      </c>
      <c r="AA677" s="3" t="str">
        <f t="shared" si="74"/>
        <v>Poor</v>
      </c>
      <c r="AB677" s="3" cm="1">
        <f t="array" ref="AB677">_xlfn.IFS(fin_table[[#This Row],[Transaction Status]]="Failed", 1, fin_table[[#This Row],[Transaction Status]]="Completed",0,fin_table[[#This Row],[Transaction Status]]="Pending",2)</f>
        <v>0</v>
      </c>
      <c r="AC677" s="3" t="str">
        <f>IF(fin_table[[#This Row],[Loan Defaulters]]=1,"Default", "Good")</f>
        <v>Good</v>
      </c>
      <c r="AD677" s="3">
        <f t="shared" si="75"/>
        <v>1</v>
      </c>
      <c r="AE677" s="4">
        <v>7271.78</v>
      </c>
      <c r="AF677" s="4" t="str">
        <f>IF(fin_table[[#This Row],[Monthly Income]]&lt;3000, "Low Income", IF(fin_table[[#This Row],[Monthly Income]]&lt;=5000, "Middle Income", "High Income"))</f>
        <v>High Income</v>
      </c>
      <c r="AG677" t="s">
        <v>30</v>
      </c>
      <c r="AH677" t="s">
        <v>3636</v>
      </c>
      <c r="AI677" t="str">
        <f t="shared" si="76"/>
        <v>Low-Risk</v>
      </c>
    </row>
    <row r="678" spans="1:35" x14ac:dyDescent="0.35">
      <c r="A678" t="s">
        <v>2522</v>
      </c>
      <c r="B678" t="s">
        <v>2523</v>
      </c>
      <c r="C678" t="s">
        <v>2524</v>
      </c>
      <c r="D678" s="1">
        <v>44713</v>
      </c>
      <c r="E678" s="1" t="str">
        <f t="shared" si="70"/>
        <v>01</v>
      </c>
      <c r="F678" s="1" t="str">
        <f t="shared" si="71"/>
        <v>Jun</v>
      </c>
      <c r="G678" s="6" t="s">
        <v>34</v>
      </c>
      <c r="H678" s="5">
        <v>6625.23</v>
      </c>
      <c r="I678" s="5" t="str">
        <f>IF(fin_table[[#This Row],[Account Balance]]&lt;20000,"Active", "Not Active")</f>
        <v>Active</v>
      </c>
      <c r="J678" s="5">
        <v>5838.12</v>
      </c>
      <c r="K678" s="5" t="str">
        <f t="shared" si="72"/>
        <v>Low</v>
      </c>
      <c r="L678" s="6" t="s">
        <v>49</v>
      </c>
      <c r="M678">
        <v>59</v>
      </c>
      <c r="N678" s="6" t="str">
        <f t="shared" si="73"/>
        <v>Older Adults</v>
      </c>
      <c r="O678" s="6" t="s">
        <v>42</v>
      </c>
      <c r="P678" s="6" t="s">
        <v>50</v>
      </c>
      <c r="Q678" t="s">
        <v>2525</v>
      </c>
      <c r="R678" s="6" t="s">
        <v>38</v>
      </c>
      <c r="S678" s="6" t="s">
        <v>44</v>
      </c>
      <c r="T678" s="14">
        <v>4.8300000000000003E-2</v>
      </c>
      <c r="U678">
        <v>4.83</v>
      </c>
      <c r="V678" t="str">
        <f>IF(fin_table[[#This Row],[Interest Rate(%)]]&gt;4,"high","low")</f>
        <v>high</v>
      </c>
      <c r="W678" s="5">
        <v>26681.654999999999</v>
      </c>
      <c r="X678" s="5">
        <f>fin_table[[#This Row],[Interest Rate]]*fin_table[[#This Row],[Loan Amount]]</f>
        <v>1288.7239365</v>
      </c>
      <c r="Y678">
        <v>13</v>
      </c>
      <c r="Z678" s="3">
        <v>353</v>
      </c>
      <c r="AA678" s="3" t="str">
        <f t="shared" si="74"/>
        <v>Poor</v>
      </c>
      <c r="AB678" s="3" cm="1">
        <f t="array" ref="AB678">_xlfn.IFS(fin_table[[#This Row],[Transaction Status]]="Failed", 1, fin_table[[#This Row],[Transaction Status]]="Completed",0,fin_table[[#This Row],[Transaction Status]]="Pending",2)</f>
        <v>0</v>
      </c>
      <c r="AC678" s="3" t="str">
        <f>IF(fin_table[[#This Row],[Loan Defaulters]]=1,"Default", "Good")</f>
        <v>Good</v>
      </c>
      <c r="AD678" s="3">
        <f t="shared" si="75"/>
        <v>1</v>
      </c>
      <c r="AE678" s="4">
        <v>9394</v>
      </c>
      <c r="AF678" s="4" t="str">
        <f>IF(fin_table[[#This Row],[Monthly Income]]&lt;3000, "Low Income", IF(fin_table[[#This Row],[Monthly Income]]&lt;=5000, "Middle Income", "High Income"))</f>
        <v>High Income</v>
      </c>
      <c r="AG678" t="s">
        <v>45</v>
      </c>
      <c r="AH678" t="s">
        <v>3635</v>
      </c>
      <c r="AI678" t="str">
        <f t="shared" si="76"/>
        <v>Low-Risk</v>
      </c>
    </row>
    <row r="679" spans="1:35" x14ac:dyDescent="0.35">
      <c r="A679" t="s">
        <v>2526</v>
      </c>
      <c r="B679" t="s">
        <v>2527</v>
      </c>
      <c r="C679" t="s">
        <v>2528</v>
      </c>
      <c r="D679" s="1">
        <v>44884</v>
      </c>
      <c r="E679" s="1" t="str">
        <f t="shared" si="70"/>
        <v>19</v>
      </c>
      <c r="F679" s="1" t="str">
        <f t="shared" si="71"/>
        <v>Nov</v>
      </c>
      <c r="G679" s="6" t="s">
        <v>56</v>
      </c>
      <c r="H679" s="5">
        <v>1178.04</v>
      </c>
      <c r="I679" s="5" t="str">
        <f>IF(fin_table[[#This Row],[Account Balance]]&lt;20000,"Active", "Not Active")</f>
        <v>Active</v>
      </c>
      <c r="J679" s="5">
        <v>4707.3900000000003</v>
      </c>
      <c r="K679" s="5" t="str">
        <f t="shared" si="72"/>
        <v>Low</v>
      </c>
      <c r="L679" s="6" t="s">
        <v>35</v>
      </c>
      <c r="M679">
        <v>59</v>
      </c>
      <c r="N679" s="6" t="str">
        <f t="shared" si="73"/>
        <v>Older Adults</v>
      </c>
      <c r="O679" s="6" t="s">
        <v>25</v>
      </c>
      <c r="P679" s="6" t="s">
        <v>36</v>
      </c>
      <c r="Q679" t="s">
        <v>2171</v>
      </c>
      <c r="R679" s="6" t="s">
        <v>52</v>
      </c>
      <c r="S679" s="6" t="s">
        <v>29</v>
      </c>
      <c r="T679" s="14">
        <v>2.2700000000000001E-2</v>
      </c>
      <c r="U679">
        <v>2.27</v>
      </c>
      <c r="V679" t="str">
        <f>IF(fin_table[[#This Row],[Interest Rate(%)]]&gt;4,"high","low")</f>
        <v>low</v>
      </c>
      <c r="W679" s="5">
        <v>26681.654999999999</v>
      </c>
      <c r="X679" s="5">
        <f>fin_table[[#This Row],[Interest Rate]]*fin_table[[#This Row],[Loan Amount]]</f>
        <v>605.67356849999999</v>
      </c>
      <c r="Y679">
        <v>13</v>
      </c>
      <c r="Z679" s="3">
        <v>582</v>
      </c>
      <c r="AA679" s="3" t="str">
        <f t="shared" si="74"/>
        <v>Fair</v>
      </c>
      <c r="AB679" s="3" cm="1">
        <f t="array" ref="AB679">_xlfn.IFS(fin_table[[#This Row],[Transaction Status]]="Failed", 1, fin_table[[#This Row],[Transaction Status]]="Completed",0,fin_table[[#This Row],[Transaction Status]]="Pending",2)</f>
        <v>1</v>
      </c>
      <c r="AC679" s="3" t="str">
        <f>IF(fin_table[[#This Row],[Loan Defaulters]]=1,"Default", "Good")</f>
        <v>Default</v>
      </c>
      <c r="AD679" s="3">
        <f t="shared" si="75"/>
        <v>2</v>
      </c>
      <c r="AE679" s="4">
        <v>12278.57</v>
      </c>
      <c r="AF679" s="4" t="str">
        <f>IF(fin_table[[#This Row],[Monthly Income]]&lt;3000, "Low Income", IF(fin_table[[#This Row],[Monthly Income]]&lt;=5000, "Middle Income", "High Income"))</f>
        <v>High Income</v>
      </c>
      <c r="AG679" t="s">
        <v>30</v>
      </c>
      <c r="AH679" t="s">
        <v>3635</v>
      </c>
      <c r="AI679" t="str">
        <f t="shared" si="76"/>
        <v>Low-Risk</v>
      </c>
    </row>
    <row r="680" spans="1:35" x14ac:dyDescent="0.35">
      <c r="A680" t="s">
        <v>2529</v>
      </c>
      <c r="B680" t="s">
        <v>2530</v>
      </c>
      <c r="C680" t="s">
        <v>2531</v>
      </c>
      <c r="D680" s="1">
        <v>44658</v>
      </c>
      <c r="E680" s="1" t="str">
        <f t="shared" si="70"/>
        <v>07</v>
      </c>
      <c r="F680" s="1" t="str">
        <f t="shared" si="71"/>
        <v>Apr</v>
      </c>
      <c r="G680" s="6" t="s">
        <v>71</v>
      </c>
      <c r="H680" s="5">
        <v>6401.73</v>
      </c>
      <c r="I680" s="5" t="str">
        <f>IF(fin_table[[#This Row],[Account Balance]]&lt;20000,"Active", "Not Active")</f>
        <v>Active</v>
      </c>
      <c r="J680" s="5">
        <v>18715.53</v>
      </c>
      <c r="K680" s="5" t="str">
        <f t="shared" si="72"/>
        <v>Medium</v>
      </c>
      <c r="L680" s="6" t="s">
        <v>100</v>
      </c>
      <c r="M680">
        <v>37</v>
      </c>
      <c r="N680" s="6" t="str">
        <f t="shared" si="73"/>
        <v>Middle-Aged</v>
      </c>
      <c r="O680" s="6" t="s">
        <v>25</v>
      </c>
      <c r="P680" s="6" t="s">
        <v>50</v>
      </c>
      <c r="Q680" t="s">
        <v>2532</v>
      </c>
      <c r="R680" s="6" t="s">
        <v>52</v>
      </c>
      <c r="S680" s="6" t="s">
        <v>62</v>
      </c>
      <c r="T680" s="14">
        <v>1.8800000000000001E-2</v>
      </c>
      <c r="U680">
        <v>1.88</v>
      </c>
      <c r="V680" t="str">
        <f>IF(fin_table[[#This Row],[Interest Rate(%)]]&gt;4,"high","low")</f>
        <v>low</v>
      </c>
      <c r="W680" s="5">
        <v>49983.6</v>
      </c>
      <c r="X680" s="5">
        <f>fin_table[[#This Row],[Interest Rate]]*fin_table[[#This Row],[Loan Amount]]</f>
        <v>939.69168000000002</v>
      </c>
      <c r="Y680">
        <v>13</v>
      </c>
      <c r="Z680" s="3">
        <v>416</v>
      </c>
      <c r="AA680" s="3" t="str">
        <f t="shared" si="74"/>
        <v>Poor</v>
      </c>
      <c r="AB680" s="3" cm="1">
        <f t="array" ref="AB680">_xlfn.IFS(fin_table[[#This Row],[Transaction Status]]="Failed", 1, fin_table[[#This Row],[Transaction Status]]="Completed",0,fin_table[[#This Row],[Transaction Status]]="Pending",2)</f>
        <v>2</v>
      </c>
      <c r="AC680" s="3" t="str">
        <f>IF(fin_table[[#This Row],[Loan Defaulters]]=1,"Default", "Good")</f>
        <v>Good</v>
      </c>
      <c r="AD680" s="3">
        <f t="shared" si="75"/>
        <v>1</v>
      </c>
      <c r="AE680" s="4">
        <v>11062.82</v>
      </c>
      <c r="AF680" s="4" t="str">
        <f>IF(fin_table[[#This Row],[Monthly Income]]&lt;3000, "Low Income", IF(fin_table[[#This Row],[Monthly Income]]&lt;=5000, "Middle Income", "High Income"))</f>
        <v>High Income</v>
      </c>
      <c r="AG680" t="s">
        <v>45</v>
      </c>
      <c r="AH680" t="s">
        <v>3636</v>
      </c>
      <c r="AI680" t="str">
        <f t="shared" si="76"/>
        <v>High-Risk</v>
      </c>
    </row>
    <row r="681" spans="1:35" x14ac:dyDescent="0.35">
      <c r="A681" t="s">
        <v>2533</v>
      </c>
      <c r="B681" t="s">
        <v>2534</v>
      </c>
      <c r="C681" t="s">
        <v>2535</v>
      </c>
      <c r="D681" s="1">
        <v>44864</v>
      </c>
      <c r="E681" s="1" t="str">
        <f t="shared" si="70"/>
        <v>30</v>
      </c>
      <c r="F681" s="1" t="str">
        <f t="shared" si="71"/>
        <v>Oct</v>
      </c>
      <c r="G681" s="6" t="s">
        <v>56</v>
      </c>
      <c r="H681" s="5">
        <v>5032.54</v>
      </c>
      <c r="I681" s="5" t="str">
        <f>IF(fin_table[[#This Row],[Account Balance]]&lt;20000,"Active", "Not Active")</f>
        <v>Active</v>
      </c>
      <c r="J681" s="5">
        <v>5516.23</v>
      </c>
      <c r="K681" s="5" t="str">
        <f t="shared" si="72"/>
        <v>Low</v>
      </c>
      <c r="L681" s="6" t="s">
        <v>49</v>
      </c>
      <c r="M681">
        <v>26</v>
      </c>
      <c r="N681" s="6" t="str">
        <f t="shared" si="73"/>
        <v>Adults</v>
      </c>
      <c r="O681" s="6" t="s">
        <v>25</v>
      </c>
      <c r="P681" s="6" t="s">
        <v>36</v>
      </c>
      <c r="Q681" t="s">
        <v>2536</v>
      </c>
      <c r="R681" s="6" t="s">
        <v>52</v>
      </c>
      <c r="S681" s="6" t="s">
        <v>44</v>
      </c>
      <c r="T681" s="14">
        <v>3.7100000000000001E-2</v>
      </c>
      <c r="U681">
        <v>3.71</v>
      </c>
      <c r="V681" t="str">
        <f>IF(fin_table[[#This Row],[Interest Rate(%)]]&gt;4,"high","low")</f>
        <v>low</v>
      </c>
      <c r="W681" s="5">
        <v>27308.02</v>
      </c>
      <c r="X681" s="5">
        <f>fin_table[[#This Row],[Interest Rate]]*fin_table[[#This Row],[Loan Amount]]</f>
        <v>1013.1275420000001</v>
      </c>
      <c r="Y681">
        <v>13</v>
      </c>
      <c r="Z681" s="3">
        <v>413</v>
      </c>
      <c r="AA681" s="3" t="str">
        <f t="shared" si="74"/>
        <v>Poor</v>
      </c>
      <c r="AB681" s="3" cm="1">
        <f t="array" ref="AB681">_xlfn.IFS(fin_table[[#This Row],[Transaction Status]]="Failed", 1, fin_table[[#This Row],[Transaction Status]]="Completed",0,fin_table[[#This Row],[Transaction Status]]="Pending",2)</f>
        <v>0</v>
      </c>
      <c r="AC681" s="3" t="str">
        <f>IF(fin_table[[#This Row],[Loan Defaulters]]=1,"Default", "Good")</f>
        <v>Good</v>
      </c>
      <c r="AD681" s="3">
        <f t="shared" si="75"/>
        <v>1</v>
      </c>
      <c r="AE681" s="4">
        <v>14941.76</v>
      </c>
      <c r="AF681" s="4" t="str">
        <f>IF(fin_table[[#This Row],[Monthly Income]]&lt;3000, "Low Income", IF(fin_table[[#This Row],[Monthly Income]]&lt;=5000, "Middle Income", "High Income"))</f>
        <v>High Income</v>
      </c>
      <c r="AG681" t="s">
        <v>63</v>
      </c>
      <c r="AH681" t="s">
        <v>3636</v>
      </c>
      <c r="AI681" t="str">
        <f t="shared" si="76"/>
        <v>Low-Risk</v>
      </c>
    </row>
    <row r="682" spans="1:35" x14ac:dyDescent="0.35">
      <c r="A682" t="s">
        <v>2537</v>
      </c>
      <c r="B682" t="s">
        <v>2538</v>
      </c>
      <c r="C682" t="s">
        <v>2539</v>
      </c>
      <c r="D682" s="1">
        <v>44843</v>
      </c>
      <c r="E682" s="1" t="str">
        <f t="shared" si="70"/>
        <v>09</v>
      </c>
      <c r="F682" s="1" t="str">
        <f t="shared" si="71"/>
        <v>Oct</v>
      </c>
      <c r="G682" s="6" t="s">
        <v>71</v>
      </c>
      <c r="H682" s="5">
        <v>4126.07</v>
      </c>
      <c r="I682" s="5" t="str">
        <f>IF(fin_table[[#This Row],[Account Balance]]&lt;20000,"Active", "Not Active")</f>
        <v>Not Active</v>
      </c>
      <c r="J682" s="5">
        <v>29668.84</v>
      </c>
      <c r="K682" s="5" t="str">
        <f t="shared" si="72"/>
        <v>Medium</v>
      </c>
      <c r="L682" s="6" t="s">
        <v>24</v>
      </c>
      <c r="M682">
        <v>34</v>
      </c>
      <c r="N682" s="6" t="str">
        <f t="shared" si="73"/>
        <v>Adults</v>
      </c>
      <c r="O682" s="6" t="s">
        <v>25</v>
      </c>
      <c r="P682" s="6" t="s">
        <v>36</v>
      </c>
      <c r="Q682" t="s">
        <v>2249</v>
      </c>
      <c r="R682" s="6" t="s">
        <v>28</v>
      </c>
      <c r="S682" s="6" t="s">
        <v>29</v>
      </c>
      <c r="T682" s="14">
        <v>4.0300000000000002E-2</v>
      </c>
      <c r="U682">
        <v>4.03</v>
      </c>
      <c r="V682" t="str">
        <f>IF(fin_table[[#This Row],[Interest Rate(%)]]&gt;4,"high","low")</f>
        <v>high</v>
      </c>
      <c r="W682" s="5">
        <v>39714.35</v>
      </c>
      <c r="X682" s="5">
        <f>fin_table[[#This Row],[Interest Rate]]*fin_table[[#This Row],[Loan Amount]]</f>
        <v>1600.4883050000001</v>
      </c>
      <c r="Y682">
        <v>2</v>
      </c>
      <c r="Z682" s="3">
        <v>842</v>
      </c>
      <c r="AA682" s="3" t="str">
        <f t="shared" si="74"/>
        <v>Excellent</v>
      </c>
      <c r="AB682" s="3" cm="1">
        <f t="array" ref="AB682">_xlfn.IFS(fin_table[[#This Row],[Transaction Status]]="Failed", 1, fin_table[[#This Row],[Transaction Status]]="Completed",0,fin_table[[#This Row],[Transaction Status]]="Pending",2)</f>
        <v>1</v>
      </c>
      <c r="AC682" s="3" t="str">
        <f>IF(fin_table[[#This Row],[Loan Defaulters]]=1,"Default", "Good")</f>
        <v>Default</v>
      </c>
      <c r="AD682" s="3">
        <f t="shared" si="75"/>
        <v>5</v>
      </c>
      <c r="AE682" s="4">
        <v>2177.81</v>
      </c>
      <c r="AF682" s="4" t="str">
        <f>IF(fin_table[[#This Row],[Monthly Income]]&lt;3000, "Low Income", IF(fin_table[[#This Row],[Monthly Income]]&lt;=5000, "Middle Income", "High Income"))</f>
        <v>Low Income</v>
      </c>
      <c r="AG682" t="s">
        <v>30</v>
      </c>
      <c r="AH682" t="s">
        <v>3636</v>
      </c>
      <c r="AI682" t="str">
        <f t="shared" si="76"/>
        <v>Low-Risk</v>
      </c>
    </row>
    <row r="683" spans="1:35" x14ac:dyDescent="0.35">
      <c r="A683" t="s">
        <v>2540</v>
      </c>
      <c r="B683" t="s">
        <v>2541</v>
      </c>
      <c r="C683" t="s">
        <v>2542</v>
      </c>
      <c r="D683" s="1">
        <v>44952</v>
      </c>
      <c r="E683" s="1" t="str">
        <f t="shared" si="70"/>
        <v>26</v>
      </c>
      <c r="F683" s="1" t="str">
        <f t="shared" si="71"/>
        <v>Jan</v>
      </c>
      <c r="G683" s="6" t="s">
        <v>34</v>
      </c>
      <c r="H683" s="5">
        <v>9534.9</v>
      </c>
      <c r="I683" s="5" t="str">
        <f>IF(fin_table[[#This Row],[Account Balance]]&lt;20000,"Active", "Not Active")</f>
        <v>Active</v>
      </c>
      <c r="J683" s="5">
        <v>12087.49</v>
      </c>
      <c r="K683" s="5" t="str">
        <f t="shared" si="72"/>
        <v>Medium</v>
      </c>
      <c r="L683" s="6" t="s">
        <v>35</v>
      </c>
      <c r="M683">
        <v>44</v>
      </c>
      <c r="N683" s="6" t="str">
        <f t="shared" si="73"/>
        <v>Middle-Aged</v>
      </c>
      <c r="O683" s="6" t="s">
        <v>25</v>
      </c>
      <c r="P683" s="6" t="s">
        <v>26</v>
      </c>
      <c r="Q683" t="s">
        <v>2543</v>
      </c>
      <c r="R683" s="6" t="s">
        <v>38</v>
      </c>
      <c r="S683" s="6" t="s">
        <v>62</v>
      </c>
      <c r="T683" s="14">
        <v>1.9E-2</v>
      </c>
      <c r="U683">
        <v>1.9E-2</v>
      </c>
      <c r="V683" t="str">
        <f>IF(fin_table[[#This Row],[Interest Rate(%)]]&gt;4,"high","low")</f>
        <v>low</v>
      </c>
      <c r="W683" s="5">
        <v>26681.654999999999</v>
      </c>
      <c r="X683" s="5">
        <f>fin_table[[#This Row],[Interest Rate]]*fin_table[[#This Row],[Loan Amount]]</f>
        <v>506.95144499999998</v>
      </c>
      <c r="Y683">
        <v>25</v>
      </c>
      <c r="Z683" s="3">
        <v>592</v>
      </c>
      <c r="AA683" s="3" t="str">
        <f t="shared" si="74"/>
        <v>Fair</v>
      </c>
      <c r="AB683" s="3" cm="1">
        <f t="array" ref="AB683">_xlfn.IFS(fin_table[[#This Row],[Transaction Status]]="Failed", 1, fin_table[[#This Row],[Transaction Status]]="Completed",0,fin_table[[#This Row],[Transaction Status]]="Pending",2)</f>
        <v>2</v>
      </c>
      <c r="AC683" s="3" t="str">
        <f>IF(fin_table[[#This Row],[Loan Defaulters]]=1,"Default", "Good")</f>
        <v>Good</v>
      </c>
      <c r="AD683" s="3">
        <f t="shared" si="75"/>
        <v>2</v>
      </c>
      <c r="AE683" s="4">
        <v>6616.73</v>
      </c>
      <c r="AF683" s="4" t="str">
        <f>IF(fin_table[[#This Row],[Monthly Income]]&lt;3000, "Low Income", IF(fin_table[[#This Row],[Monthly Income]]&lt;=5000, "Middle Income", "High Income"))</f>
        <v>High Income</v>
      </c>
      <c r="AG683" t="s">
        <v>63</v>
      </c>
      <c r="AH683" t="s">
        <v>3635</v>
      </c>
      <c r="AI683" t="str">
        <f t="shared" si="76"/>
        <v>Low-Risk</v>
      </c>
    </row>
    <row r="684" spans="1:35" x14ac:dyDescent="0.35">
      <c r="A684" t="s">
        <v>2544</v>
      </c>
      <c r="B684" t="s">
        <v>2545</v>
      </c>
      <c r="C684" t="s">
        <v>2546</v>
      </c>
      <c r="D684" s="1">
        <v>44852</v>
      </c>
      <c r="E684" s="1" t="str">
        <f t="shared" si="70"/>
        <v>18</v>
      </c>
      <c r="F684" s="1" t="str">
        <f t="shared" si="71"/>
        <v>Oct</v>
      </c>
      <c r="G684" s="6" t="s">
        <v>56</v>
      </c>
      <c r="H684" s="5">
        <v>5273.14</v>
      </c>
      <c r="I684" s="5" t="str">
        <f>IF(fin_table[[#This Row],[Account Balance]]&lt;20000,"Active", "Not Active")</f>
        <v>Not Active</v>
      </c>
      <c r="J684" s="5">
        <v>44889.2</v>
      </c>
      <c r="K684" s="5" t="str">
        <f t="shared" si="72"/>
        <v>Medium</v>
      </c>
      <c r="L684" s="6" t="s">
        <v>100</v>
      </c>
      <c r="M684">
        <v>64</v>
      </c>
      <c r="N684" s="6" t="str">
        <f t="shared" si="73"/>
        <v>Seniors</v>
      </c>
      <c r="O684" s="6" t="s">
        <v>42</v>
      </c>
      <c r="P684" s="6" t="s">
        <v>50</v>
      </c>
      <c r="Q684" t="s">
        <v>2547</v>
      </c>
      <c r="R684" s="6" t="s">
        <v>28</v>
      </c>
      <c r="S684" s="6" t="s">
        <v>29</v>
      </c>
      <c r="T684" s="14">
        <v>1.3100000000000001E-2</v>
      </c>
      <c r="U684">
        <v>1.31</v>
      </c>
      <c r="V684" t="str">
        <f>IF(fin_table[[#This Row],[Interest Rate(%)]]&gt;4,"high","low")</f>
        <v>low</v>
      </c>
      <c r="W684" s="5">
        <v>26681.654999999999</v>
      </c>
      <c r="X684" s="5">
        <f>fin_table[[#This Row],[Interest Rate]]*fin_table[[#This Row],[Loan Amount]]</f>
        <v>349.52968049999998</v>
      </c>
      <c r="Y684">
        <v>4</v>
      </c>
      <c r="Z684" s="3">
        <v>494</v>
      </c>
      <c r="AA684" s="3" t="str">
        <f t="shared" si="74"/>
        <v>Poor</v>
      </c>
      <c r="AB684" s="3" cm="1">
        <f t="array" ref="AB684">_xlfn.IFS(fin_table[[#This Row],[Transaction Status]]="Failed", 1, fin_table[[#This Row],[Transaction Status]]="Completed",0,fin_table[[#This Row],[Transaction Status]]="Pending",2)</f>
        <v>1</v>
      </c>
      <c r="AC684" s="3" t="str">
        <f>IF(fin_table[[#This Row],[Loan Defaulters]]=1,"Default", "Good")</f>
        <v>Default</v>
      </c>
      <c r="AD684" s="3">
        <f t="shared" si="75"/>
        <v>1</v>
      </c>
      <c r="AE684" s="4">
        <v>5653.36</v>
      </c>
      <c r="AF684" s="4" t="str">
        <f>IF(fin_table[[#This Row],[Monthly Income]]&lt;3000, "Low Income", IF(fin_table[[#This Row],[Monthly Income]]&lt;=5000, "Middle Income", "High Income"))</f>
        <v>High Income</v>
      </c>
      <c r="AG684" t="s">
        <v>63</v>
      </c>
      <c r="AH684" t="s">
        <v>3635</v>
      </c>
      <c r="AI684" t="str">
        <f t="shared" si="76"/>
        <v>Low-Risk</v>
      </c>
    </row>
    <row r="685" spans="1:35" x14ac:dyDescent="0.35">
      <c r="A685" t="s">
        <v>2548</v>
      </c>
      <c r="B685" t="s">
        <v>2549</v>
      </c>
      <c r="C685" t="s">
        <v>2550</v>
      </c>
      <c r="D685" s="1">
        <v>44983</v>
      </c>
      <c r="E685" s="1" t="str">
        <f t="shared" si="70"/>
        <v>26</v>
      </c>
      <c r="F685" s="1" t="str">
        <f t="shared" si="71"/>
        <v>Feb</v>
      </c>
      <c r="G685" s="6" t="s">
        <v>23</v>
      </c>
      <c r="H685" s="5">
        <v>2269.2600000000002</v>
      </c>
      <c r="I685" s="5" t="str">
        <f>IF(fin_table[[#This Row],[Account Balance]]&lt;20000,"Active", "Not Active")</f>
        <v>Not Active</v>
      </c>
      <c r="J685" s="5">
        <v>39391.5</v>
      </c>
      <c r="K685" s="5" t="str">
        <f t="shared" si="72"/>
        <v>Medium</v>
      </c>
      <c r="L685" s="6" t="s">
        <v>125</v>
      </c>
      <c r="M685">
        <v>19</v>
      </c>
      <c r="N685" s="6" t="str">
        <f t="shared" si="73"/>
        <v>Young Adults</v>
      </c>
      <c r="O685" s="6" t="s">
        <v>42</v>
      </c>
      <c r="P685" s="6" t="s">
        <v>50</v>
      </c>
      <c r="Q685" t="s">
        <v>2551</v>
      </c>
      <c r="R685" s="6" t="s">
        <v>28</v>
      </c>
      <c r="S685" s="6" t="s">
        <v>62</v>
      </c>
      <c r="T685" s="14">
        <v>4.24E-2</v>
      </c>
      <c r="U685">
        <v>4.24</v>
      </c>
      <c r="V685" t="str">
        <f>IF(fin_table[[#This Row],[Interest Rate(%)]]&gt;4,"high","low")</f>
        <v>high</v>
      </c>
      <c r="W685" s="5">
        <v>17150.09</v>
      </c>
      <c r="X685" s="5">
        <f>fin_table[[#This Row],[Interest Rate]]*fin_table[[#This Row],[Loan Amount]]</f>
        <v>727.163816</v>
      </c>
      <c r="Y685">
        <v>13</v>
      </c>
      <c r="Z685" s="3">
        <v>591</v>
      </c>
      <c r="AA685" s="3" t="str">
        <f t="shared" si="74"/>
        <v>Fair</v>
      </c>
      <c r="AB685" s="3" cm="1">
        <f t="array" ref="AB685">_xlfn.IFS(fin_table[[#This Row],[Transaction Status]]="Failed", 1, fin_table[[#This Row],[Transaction Status]]="Completed",0,fin_table[[#This Row],[Transaction Status]]="Pending",2)</f>
        <v>2</v>
      </c>
      <c r="AC685" s="3" t="str">
        <f>IF(fin_table[[#This Row],[Loan Defaulters]]=1,"Default", "Good")</f>
        <v>Good</v>
      </c>
      <c r="AD685" s="3">
        <f t="shared" si="75"/>
        <v>2</v>
      </c>
      <c r="AE685" s="4">
        <v>5410.11</v>
      </c>
      <c r="AF685" s="4" t="str">
        <f>IF(fin_table[[#This Row],[Monthly Income]]&lt;3000, "Low Income", IF(fin_table[[#This Row],[Monthly Income]]&lt;=5000, "Middle Income", "High Income"))</f>
        <v>High Income</v>
      </c>
      <c r="AG685" t="s">
        <v>45</v>
      </c>
      <c r="AH685" t="s">
        <v>3636</v>
      </c>
      <c r="AI685" t="str">
        <f t="shared" si="76"/>
        <v>Low-Risk</v>
      </c>
    </row>
    <row r="686" spans="1:35" x14ac:dyDescent="0.35">
      <c r="A686" t="s">
        <v>2552</v>
      </c>
      <c r="B686" t="s">
        <v>2553</v>
      </c>
      <c r="C686" t="s">
        <v>2554</v>
      </c>
      <c r="D686" s="1">
        <v>44780</v>
      </c>
      <c r="E686" s="1" t="str">
        <f t="shared" si="70"/>
        <v>07</v>
      </c>
      <c r="F686" s="1" t="str">
        <f t="shared" si="71"/>
        <v>Aug</v>
      </c>
      <c r="G686" s="6" t="s">
        <v>71</v>
      </c>
      <c r="H686" s="5">
        <v>4643.74</v>
      </c>
      <c r="I686" s="5" t="str">
        <f>IF(fin_table[[#This Row],[Account Balance]]&lt;20000,"Active", "Not Active")</f>
        <v>Not Active</v>
      </c>
      <c r="J686" s="5">
        <v>35285.56</v>
      </c>
      <c r="K686" s="5" t="str">
        <f t="shared" si="72"/>
        <v>Medium</v>
      </c>
      <c r="L686" s="6" t="s">
        <v>100</v>
      </c>
      <c r="M686">
        <v>53</v>
      </c>
      <c r="N686" s="6" t="str">
        <f t="shared" si="73"/>
        <v>Older Adults</v>
      </c>
      <c r="O686" s="6" t="s">
        <v>25</v>
      </c>
      <c r="P686" s="6" t="s">
        <v>26</v>
      </c>
      <c r="Q686" t="s">
        <v>1599</v>
      </c>
      <c r="R686" s="6" t="s">
        <v>28</v>
      </c>
      <c r="S686" s="6" t="s">
        <v>62</v>
      </c>
      <c r="T686" s="14">
        <v>4.9099999999999998E-2</v>
      </c>
      <c r="U686">
        <v>4.91</v>
      </c>
      <c r="V686" t="str">
        <f>IF(fin_table[[#This Row],[Interest Rate(%)]]&gt;4,"high","low")</f>
        <v>high</v>
      </c>
      <c r="W686" s="5">
        <v>26681.654999999999</v>
      </c>
      <c r="X686" s="5">
        <f>fin_table[[#This Row],[Interest Rate]]*fin_table[[#This Row],[Loan Amount]]</f>
        <v>1310.0692604999999</v>
      </c>
      <c r="Y686">
        <v>11</v>
      </c>
      <c r="Z686" s="3">
        <v>560</v>
      </c>
      <c r="AA686" s="3" t="str">
        <f t="shared" si="74"/>
        <v>Poor</v>
      </c>
      <c r="AB686" s="3" cm="1">
        <f t="array" ref="AB686">_xlfn.IFS(fin_table[[#This Row],[Transaction Status]]="Failed", 1, fin_table[[#This Row],[Transaction Status]]="Completed",0,fin_table[[#This Row],[Transaction Status]]="Pending",2)</f>
        <v>2</v>
      </c>
      <c r="AC686" s="3" t="str">
        <f>IF(fin_table[[#This Row],[Loan Defaulters]]=1,"Default", "Good")</f>
        <v>Good</v>
      </c>
      <c r="AD686" s="3">
        <f t="shared" si="75"/>
        <v>1</v>
      </c>
      <c r="AE686" s="4">
        <v>4892.8900000000003</v>
      </c>
      <c r="AF686" s="4" t="str">
        <f>IF(fin_table[[#This Row],[Monthly Income]]&lt;3000, "Low Income", IF(fin_table[[#This Row],[Monthly Income]]&lt;=5000, "Middle Income", "High Income"))</f>
        <v>Middle Income</v>
      </c>
      <c r="AG686" t="s">
        <v>30</v>
      </c>
      <c r="AH686" t="s">
        <v>3635</v>
      </c>
      <c r="AI686" t="str">
        <f t="shared" si="76"/>
        <v>Low-Risk</v>
      </c>
    </row>
    <row r="687" spans="1:35" x14ac:dyDescent="0.35">
      <c r="A687" t="s">
        <v>2555</v>
      </c>
      <c r="B687" t="s">
        <v>2556</v>
      </c>
      <c r="C687" t="s">
        <v>2557</v>
      </c>
      <c r="D687" s="1">
        <v>44742</v>
      </c>
      <c r="E687" s="1" t="str">
        <f t="shared" si="70"/>
        <v>30</v>
      </c>
      <c r="F687" s="1" t="str">
        <f t="shared" si="71"/>
        <v>Jun</v>
      </c>
      <c r="G687" s="6" t="s">
        <v>56</v>
      </c>
      <c r="H687" s="5">
        <v>9201.94</v>
      </c>
      <c r="I687" s="5" t="str">
        <f>IF(fin_table[[#This Row],[Account Balance]]&lt;20000,"Active", "Not Active")</f>
        <v>Not Active</v>
      </c>
      <c r="J687" s="5">
        <v>31230.26</v>
      </c>
      <c r="K687" s="5" t="str">
        <f t="shared" si="72"/>
        <v>Medium</v>
      </c>
      <c r="L687" s="6" t="s">
        <v>125</v>
      </c>
      <c r="M687">
        <v>36</v>
      </c>
      <c r="N687" s="6" t="str">
        <f t="shared" si="73"/>
        <v>Middle-Aged</v>
      </c>
      <c r="O687" s="6" t="s">
        <v>42</v>
      </c>
      <c r="P687" s="6" t="s">
        <v>36</v>
      </c>
      <c r="Q687" t="s">
        <v>1201</v>
      </c>
      <c r="R687" s="6" t="s">
        <v>38</v>
      </c>
      <c r="S687" s="6" t="s">
        <v>62</v>
      </c>
      <c r="T687" s="14">
        <v>3.5799999999999998E-2</v>
      </c>
      <c r="U687">
        <v>3.58</v>
      </c>
      <c r="V687" t="str">
        <f>IF(fin_table[[#This Row],[Interest Rate(%)]]&gt;4,"high","low")</f>
        <v>low</v>
      </c>
      <c r="W687" s="5">
        <v>41285.99</v>
      </c>
      <c r="X687" s="5">
        <f>fin_table[[#This Row],[Interest Rate]]*fin_table[[#This Row],[Loan Amount]]</f>
        <v>1478.0384419999998</v>
      </c>
      <c r="Y687">
        <v>17</v>
      </c>
      <c r="Z687" s="3">
        <v>506</v>
      </c>
      <c r="AA687" s="3" t="str">
        <f t="shared" si="74"/>
        <v>Poor</v>
      </c>
      <c r="AB687" s="3" cm="1">
        <f t="array" ref="AB687">_xlfn.IFS(fin_table[[#This Row],[Transaction Status]]="Failed", 1, fin_table[[#This Row],[Transaction Status]]="Completed",0,fin_table[[#This Row],[Transaction Status]]="Pending",2)</f>
        <v>2</v>
      </c>
      <c r="AC687" s="3" t="str">
        <f>IF(fin_table[[#This Row],[Loan Defaulters]]=1,"Default", "Good")</f>
        <v>Good</v>
      </c>
      <c r="AD687" s="3">
        <f t="shared" si="75"/>
        <v>1</v>
      </c>
      <c r="AE687" s="4">
        <v>11218.61</v>
      </c>
      <c r="AF687" s="4" t="str">
        <f>IF(fin_table[[#This Row],[Monthly Income]]&lt;3000, "Low Income", IF(fin_table[[#This Row],[Monthly Income]]&lt;=5000, "Middle Income", "High Income"))</f>
        <v>High Income</v>
      </c>
      <c r="AG687" t="s">
        <v>30</v>
      </c>
      <c r="AH687" t="s">
        <v>3636</v>
      </c>
      <c r="AI687" t="str">
        <f t="shared" si="76"/>
        <v>High-Risk</v>
      </c>
    </row>
    <row r="688" spans="1:35" x14ac:dyDescent="0.35">
      <c r="A688" t="s">
        <v>2558</v>
      </c>
      <c r="B688" t="s">
        <v>2559</v>
      </c>
      <c r="C688" t="s">
        <v>2560</v>
      </c>
      <c r="D688" s="1">
        <v>44884</v>
      </c>
      <c r="E688" s="1" t="str">
        <f t="shared" si="70"/>
        <v>19</v>
      </c>
      <c r="F688" s="1" t="str">
        <f t="shared" si="71"/>
        <v>Nov</v>
      </c>
      <c r="G688" s="6" t="s">
        <v>23</v>
      </c>
      <c r="H688" s="5">
        <v>1843.35</v>
      </c>
      <c r="I688" s="5" t="str">
        <f>IF(fin_table[[#This Row],[Account Balance]]&lt;20000,"Active", "Not Active")</f>
        <v>Not Active</v>
      </c>
      <c r="J688" s="5">
        <v>43309.82</v>
      </c>
      <c r="K688" s="5" t="str">
        <f t="shared" si="72"/>
        <v>Medium</v>
      </c>
      <c r="L688" s="6" t="s">
        <v>35</v>
      </c>
      <c r="M688">
        <v>34</v>
      </c>
      <c r="N688" s="6" t="str">
        <f t="shared" si="73"/>
        <v>Adults</v>
      </c>
      <c r="O688" s="6" t="s">
        <v>42</v>
      </c>
      <c r="P688" s="6" t="s">
        <v>50</v>
      </c>
      <c r="Q688" t="s">
        <v>2561</v>
      </c>
      <c r="R688" s="6" t="s">
        <v>52</v>
      </c>
      <c r="S688" s="6" t="s">
        <v>62</v>
      </c>
      <c r="T688" s="14">
        <v>2.1100000000000001E-2</v>
      </c>
      <c r="U688">
        <v>2.11</v>
      </c>
      <c r="V688" t="str">
        <f>IF(fin_table[[#This Row],[Interest Rate(%)]]&gt;4,"high","low")</f>
        <v>low</v>
      </c>
      <c r="W688" s="5">
        <v>12386.65</v>
      </c>
      <c r="X688" s="5">
        <f>fin_table[[#This Row],[Interest Rate]]*fin_table[[#This Row],[Loan Amount]]</f>
        <v>261.358315</v>
      </c>
      <c r="Y688">
        <v>12</v>
      </c>
      <c r="Z688" s="3">
        <v>348</v>
      </c>
      <c r="AA688" s="3" t="str">
        <f t="shared" si="74"/>
        <v>Poor</v>
      </c>
      <c r="AB688" s="3" cm="1">
        <f t="array" ref="AB688">_xlfn.IFS(fin_table[[#This Row],[Transaction Status]]="Failed", 1, fin_table[[#This Row],[Transaction Status]]="Completed",0,fin_table[[#This Row],[Transaction Status]]="Pending",2)</f>
        <v>2</v>
      </c>
      <c r="AC688" s="3" t="str">
        <f>IF(fin_table[[#This Row],[Loan Defaulters]]=1,"Default", "Good")</f>
        <v>Good</v>
      </c>
      <c r="AD688" s="3">
        <f t="shared" si="75"/>
        <v>1</v>
      </c>
      <c r="AE688" s="4">
        <v>3101.87</v>
      </c>
      <c r="AF688" s="4" t="str">
        <f>IF(fin_table[[#This Row],[Monthly Income]]&lt;3000, "Low Income", IF(fin_table[[#This Row],[Monthly Income]]&lt;=5000, "Middle Income", "High Income"))</f>
        <v>Middle Income</v>
      </c>
      <c r="AG688" t="s">
        <v>30</v>
      </c>
      <c r="AH688" t="s">
        <v>3636</v>
      </c>
      <c r="AI688" t="str">
        <f t="shared" si="76"/>
        <v>Low-Risk</v>
      </c>
    </row>
    <row r="689" spans="1:35" x14ac:dyDescent="0.35">
      <c r="A689" t="s">
        <v>2562</v>
      </c>
      <c r="B689" t="s">
        <v>2563</v>
      </c>
      <c r="C689" t="s">
        <v>2564</v>
      </c>
      <c r="D689" s="1">
        <v>44643</v>
      </c>
      <c r="E689" s="1" t="str">
        <f t="shared" si="70"/>
        <v>23</v>
      </c>
      <c r="F689" s="1" t="str">
        <f t="shared" si="71"/>
        <v>Mar</v>
      </c>
      <c r="G689" s="6" t="s">
        <v>56</v>
      </c>
      <c r="H689" s="5">
        <v>2218.17</v>
      </c>
      <c r="I689" s="5" t="str">
        <f>IF(fin_table[[#This Row],[Account Balance]]&lt;20000,"Active", "Not Active")</f>
        <v>Active</v>
      </c>
      <c r="J689" s="5">
        <v>11930.04</v>
      </c>
      <c r="K689" s="5" t="str">
        <f t="shared" si="72"/>
        <v>Medium</v>
      </c>
      <c r="L689" s="6" t="s">
        <v>125</v>
      </c>
      <c r="M689">
        <v>22</v>
      </c>
      <c r="N689" s="6" t="str">
        <f t="shared" si="73"/>
        <v>Young Adults</v>
      </c>
      <c r="O689" s="6" t="s">
        <v>42</v>
      </c>
      <c r="P689" s="6" t="s">
        <v>36</v>
      </c>
      <c r="Q689" t="s">
        <v>57</v>
      </c>
      <c r="R689" s="6" t="s">
        <v>38</v>
      </c>
      <c r="S689" s="6" t="s">
        <v>29</v>
      </c>
      <c r="T689" s="14">
        <v>4.99E-2</v>
      </c>
      <c r="U689">
        <v>4.99</v>
      </c>
      <c r="V689" t="str">
        <f>IF(fin_table[[#This Row],[Interest Rate(%)]]&gt;4,"high","low")</f>
        <v>high</v>
      </c>
      <c r="W689" s="5">
        <v>24912.93</v>
      </c>
      <c r="X689" s="5">
        <f>fin_table[[#This Row],[Interest Rate]]*fin_table[[#This Row],[Loan Amount]]</f>
        <v>1243.155207</v>
      </c>
      <c r="Y689">
        <v>13</v>
      </c>
      <c r="Z689" s="3">
        <v>305</v>
      </c>
      <c r="AA689" s="3" t="str">
        <f t="shared" si="74"/>
        <v>Poor</v>
      </c>
      <c r="AB689" s="3" cm="1">
        <f t="array" ref="AB689">_xlfn.IFS(fin_table[[#This Row],[Transaction Status]]="Failed", 1, fin_table[[#This Row],[Transaction Status]]="Completed",0,fin_table[[#This Row],[Transaction Status]]="Pending",2)</f>
        <v>1</v>
      </c>
      <c r="AC689" s="3" t="str">
        <f>IF(fin_table[[#This Row],[Loan Defaulters]]=1,"Default", "Good")</f>
        <v>Default</v>
      </c>
      <c r="AD689" s="3">
        <f t="shared" si="75"/>
        <v>1</v>
      </c>
      <c r="AE689" s="4">
        <v>11640.91</v>
      </c>
      <c r="AF689" s="4" t="str">
        <f>IF(fin_table[[#This Row],[Monthly Income]]&lt;3000, "Low Income", IF(fin_table[[#This Row],[Monthly Income]]&lt;=5000, "Middle Income", "High Income"))</f>
        <v>High Income</v>
      </c>
      <c r="AG689" t="s">
        <v>30</v>
      </c>
      <c r="AH689" t="s">
        <v>3636</v>
      </c>
      <c r="AI689" t="str">
        <f t="shared" si="76"/>
        <v>Low-Risk</v>
      </c>
    </row>
    <row r="690" spans="1:35" x14ac:dyDescent="0.35">
      <c r="A690" t="s">
        <v>2565</v>
      </c>
      <c r="B690" t="s">
        <v>2566</v>
      </c>
      <c r="C690" t="s">
        <v>2567</v>
      </c>
      <c r="D690" s="1">
        <v>45062</v>
      </c>
      <c r="E690" s="1" t="str">
        <f t="shared" si="70"/>
        <v>16</v>
      </c>
      <c r="F690" s="1" t="str">
        <f t="shared" si="71"/>
        <v>May</v>
      </c>
      <c r="G690" s="6" t="s">
        <v>56</v>
      </c>
      <c r="H690" s="5">
        <v>228.99</v>
      </c>
      <c r="I690" s="5" t="str">
        <f>IF(fin_table[[#This Row],[Account Balance]]&lt;20000,"Active", "Not Active")</f>
        <v>Not Active</v>
      </c>
      <c r="J690" s="5">
        <v>43782.33</v>
      </c>
      <c r="K690" s="5" t="str">
        <f t="shared" si="72"/>
        <v>Medium</v>
      </c>
      <c r="L690" s="6" t="s">
        <v>24</v>
      </c>
      <c r="M690">
        <v>56</v>
      </c>
      <c r="N690" s="6" t="str">
        <f t="shared" si="73"/>
        <v>Older Adults</v>
      </c>
      <c r="O690" s="6" t="s">
        <v>25</v>
      </c>
      <c r="P690" s="6" t="s">
        <v>26</v>
      </c>
      <c r="Q690" t="s">
        <v>2109</v>
      </c>
      <c r="R690" s="6" t="s">
        <v>38</v>
      </c>
      <c r="S690" s="6" t="s">
        <v>29</v>
      </c>
      <c r="T690" s="14">
        <v>4.5699999999999998E-2</v>
      </c>
      <c r="U690">
        <v>4.57</v>
      </c>
      <c r="V690" t="str">
        <f>IF(fin_table[[#This Row],[Interest Rate(%)]]&gt;4,"high","low")</f>
        <v>high</v>
      </c>
      <c r="W690" s="5">
        <v>26681.654999999999</v>
      </c>
      <c r="X690" s="5">
        <f>fin_table[[#This Row],[Interest Rate]]*fin_table[[#This Row],[Loan Amount]]</f>
        <v>1219.3516334999999</v>
      </c>
      <c r="Y690">
        <v>13</v>
      </c>
      <c r="Z690" s="3">
        <v>678</v>
      </c>
      <c r="AA690" s="3" t="str">
        <f t="shared" si="74"/>
        <v>Good</v>
      </c>
      <c r="AB690" s="3" cm="1">
        <f t="array" ref="AB690">_xlfn.IFS(fin_table[[#This Row],[Transaction Status]]="Failed", 1, fin_table[[#This Row],[Transaction Status]]="Completed",0,fin_table[[#This Row],[Transaction Status]]="Pending",2)</f>
        <v>1</v>
      </c>
      <c r="AC690" s="3" t="str">
        <f>IF(fin_table[[#This Row],[Loan Defaulters]]=1,"Default", "Good")</f>
        <v>Default</v>
      </c>
      <c r="AD690" s="3">
        <f t="shared" si="75"/>
        <v>3</v>
      </c>
      <c r="AE690" s="4">
        <v>11014.54</v>
      </c>
      <c r="AF690" s="4" t="str">
        <f>IF(fin_table[[#This Row],[Monthly Income]]&lt;3000, "Low Income", IF(fin_table[[#This Row],[Monthly Income]]&lt;=5000, "Middle Income", "High Income"))</f>
        <v>High Income</v>
      </c>
      <c r="AG690" t="s">
        <v>30</v>
      </c>
      <c r="AH690" t="s">
        <v>3635</v>
      </c>
      <c r="AI690" t="str">
        <f t="shared" si="76"/>
        <v>Low-Risk</v>
      </c>
    </row>
    <row r="691" spans="1:35" x14ac:dyDescent="0.35">
      <c r="A691" t="s">
        <v>2568</v>
      </c>
      <c r="B691" t="s">
        <v>2569</v>
      </c>
      <c r="C691" t="s">
        <v>2570</v>
      </c>
      <c r="D691" s="1">
        <v>44812</v>
      </c>
      <c r="E691" s="1" t="str">
        <f t="shared" si="70"/>
        <v>08</v>
      </c>
      <c r="F691" s="1" t="str">
        <f t="shared" si="71"/>
        <v>Sep</v>
      </c>
      <c r="G691" s="6" t="s">
        <v>56</v>
      </c>
      <c r="H691" s="5">
        <v>240.48</v>
      </c>
      <c r="I691" s="5" t="str">
        <f>IF(fin_table[[#This Row],[Account Balance]]&lt;20000,"Active", "Not Active")</f>
        <v>Not Active</v>
      </c>
      <c r="J691" s="5">
        <v>39685.120000000003</v>
      </c>
      <c r="K691" s="5" t="str">
        <f t="shared" si="72"/>
        <v>Medium</v>
      </c>
      <c r="L691" s="6" t="s">
        <v>125</v>
      </c>
      <c r="M691">
        <v>35</v>
      </c>
      <c r="N691" s="6" t="str">
        <f t="shared" si="73"/>
        <v>Adults</v>
      </c>
      <c r="O691" s="6" t="s">
        <v>25</v>
      </c>
      <c r="P691" s="6" t="s">
        <v>36</v>
      </c>
      <c r="Q691" t="s">
        <v>2182</v>
      </c>
      <c r="R691" s="6" t="s">
        <v>28</v>
      </c>
      <c r="S691" s="6" t="s">
        <v>29</v>
      </c>
      <c r="T691" s="14">
        <v>3.0499999999999999E-2</v>
      </c>
      <c r="U691">
        <v>3.05</v>
      </c>
      <c r="V691" t="str">
        <f>IF(fin_table[[#This Row],[Interest Rate(%)]]&gt;4,"high","low")</f>
        <v>low</v>
      </c>
      <c r="W691" s="5">
        <v>26681.654999999999</v>
      </c>
      <c r="X691" s="5">
        <f>fin_table[[#This Row],[Interest Rate]]*fin_table[[#This Row],[Loan Amount]]</f>
        <v>813.79047749999995</v>
      </c>
      <c r="Y691">
        <v>9</v>
      </c>
      <c r="Z691" s="3">
        <v>693</v>
      </c>
      <c r="AA691" s="3" t="str">
        <f t="shared" si="74"/>
        <v>Good</v>
      </c>
      <c r="AB691" s="3" cm="1">
        <f t="array" ref="AB691">_xlfn.IFS(fin_table[[#This Row],[Transaction Status]]="Failed", 1, fin_table[[#This Row],[Transaction Status]]="Completed",0,fin_table[[#This Row],[Transaction Status]]="Pending",2)</f>
        <v>1</v>
      </c>
      <c r="AC691" s="3" t="str">
        <f>IF(fin_table[[#This Row],[Loan Defaulters]]=1,"Default", "Good")</f>
        <v>Default</v>
      </c>
      <c r="AD691" s="3">
        <f t="shared" si="75"/>
        <v>3</v>
      </c>
      <c r="AE691" s="4">
        <v>5260.45</v>
      </c>
      <c r="AF691" s="4" t="str">
        <f>IF(fin_table[[#This Row],[Monthly Income]]&lt;3000, "Low Income", IF(fin_table[[#This Row],[Monthly Income]]&lt;=5000, "Middle Income", "High Income"))</f>
        <v>High Income</v>
      </c>
      <c r="AG691" t="s">
        <v>45</v>
      </c>
      <c r="AH691" t="s">
        <v>3635</v>
      </c>
      <c r="AI691" t="str">
        <f t="shared" si="76"/>
        <v>Low-Risk</v>
      </c>
    </row>
    <row r="692" spans="1:35" x14ac:dyDescent="0.35">
      <c r="A692" t="s">
        <v>2571</v>
      </c>
      <c r="B692" t="s">
        <v>2572</v>
      </c>
      <c r="C692" t="s">
        <v>2573</v>
      </c>
      <c r="D692" s="1">
        <v>44591</v>
      </c>
      <c r="E692" s="1" t="str">
        <f t="shared" si="70"/>
        <v>30</v>
      </c>
      <c r="F692" s="1" t="str">
        <f t="shared" si="71"/>
        <v>Jan</v>
      </c>
      <c r="G692" s="6" t="s">
        <v>71</v>
      </c>
      <c r="H692" s="5">
        <v>8310.98</v>
      </c>
      <c r="I692" s="5" t="str">
        <f>IF(fin_table[[#This Row],[Account Balance]]&lt;20000,"Active", "Not Active")</f>
        <v>Not Active</v>
      </c>
      <c r="J692" s="5">
        <v>37659.879999999997</v>
      </c>
      <c r="K692" s="5" t="str">
        <f t="shared" si="72"/>
        <v>Medium</v>
      </c>
      <c r="L692" s="6" t="s">
        <v>24</v>
      </c>
      <c r="M692">
        <v>24</v>
      </c>
      <c r="N692" s="6" t="str">
        <f t="shared" si="73"/>
        <v>Young Adults</v>
      </c>
      <c r="O692" s="6" t="s">
        <v>25</v>
      </c>
      <c r="P692" s="6" t="s">
        <v>50</v>
      </c>
      <c r="Q692" t="s">
        <v>512</v>
      </c>
      <c r="R692" s="6" t="s">
        <v>28</v>
      </c>
      <c r="S692" s="6" t="s">
        <v>29</v>
      </c>
      <c r="T692" s="14">
        <v>4.2999999999999997E-2</v>
      </c>
      <c r="U692">
        <v>4.2999999999999997E-2</v>
      </c>
      <c r="V692" t="str">
        <f>IF(fin_table[[#This Row],[Interest Rate(%)]]&gt;4,"high","low")</f>
        <v>low</v>
      </c>
      <c r="W692" s="5">
        <v>26679.01</v>
      </c>
      <c r="X692" s="5">
        <f>fin_table[[#This Row],[Interest Rate]]*fin_table[[#This Row],[Loan Amount]]</f>
        <v>1147.1974299999999</v>
      </c>
      <c r="Y692">
        <v>5</v>
      </c>
      <c r="Z692" s="3">
        <v>523</v>
      </c>
      <c r="AA692" s="3" t="str">
        <f t="shared" si="74"/>
        <v>Poor</v>
      </c>
      <c r="AB692" s="3" cm="1">
        <f t="array" ref="AB692">_xlfn.IFS(fin_table[[#This Row],[Transaction Status]]="Failed", 1, fin_table[[#This Row],[Transaction Status]]="Completed",0,fin_table[[#This Row],[Transaction Status]]="Pending",2)</f>
        <v>1</v>
      </c>
      <c r="AC692" s="3" t="str">
        <f>IF(fin_table[[#This Row],[Loan Defaulters]]=1,"Default", "Good")</f>
        <v>Default</v>
      </c>
      <c r="AD692" s="3">
        <f t="shared" si="75"/>
        <v>1</v>
      </c>
      <c r="AE692" s="4">
        <v>5286.84</v>
      </c>
      <c r="AF692" s="4" t="str">
        <f>IF(fin_table[[#This Row],[Monthly Income]]&lt;3000, "Low Income", IF(fin_table[[#This Row],[Monthly Income]]&lt;=5000, "Middle Income", "High Income"))</f>
        <v>High Income</v>
      </c>
      <c r="AG692" t="s">
        <v>30</v>
      </c>
      <c r="AH692" t="s">
        <v>3636</v>
      </c>
      <c r="AI692" t="str">
        <f t="shared" si="76"/>
        <v>Low-Risk</v>
      </c>
    </row>
    <row r="693" spans="1:35" x14ac:dyDescent="0.35">
      <c r="A693" t="s">
        <v>2574</v>
      </c>
      <c r="B693" t="s">
        <v>2575</v>
      </c>
      <c r="C693" t="s">
        <v>2576</v>
      </c>
      <c r="D693" s="1">
        <v>44698</v>
      </c>
      <c r="E693" s="1" t="str">
        <f t="shared" si="70"/>
        <v>17</v>
      </c>
      <c r="F693" s="1" t="str">
        <f t="shared" si="71"/>
        <v>May</v>
      </c>
      <c r="G693" s="6" t="s">
        <v>23</v>
      </c>
      <c r="H693" s="5">
        <v>7348.01</v>
      </c>
      <c r="I693" s="5" t="str">
        <f>IF(fin_table[[#This Row],[Account Balance]]&lt;20000,"Active", "Not Active")</f>
        <v>Not Active</v>
      </c>
      <c r="J693" s="5">
        <v>28501.53</v>
      </c>
      <c r="K693" s="5" t="str">
        <f t="shared" si="72"/>
        <v>Medium</v>
      </c>
      <c r="L693" s="6" t="s">
        <v>35</v>
      </c>
      <c r="M693">
        <v>34</v>
      </c>
      <c r="N693" s="6" t="str">
        <f t="shared" si="73"/>
        <v>Adults</v>
      </c>
      <c r="O693" s="6" t="s">
        <v>42</v>
      </c>
      <c r="P693" s="6" t="s">
        <v>36</v>
      </c>
      <c r="Q693" t="s">
        <v>2577</v>
      </c>
      <c r="R693" s="6" t="s">
        <v>28</v>
      </c>
      <c r="S693" s="6" t="s">
        <v>29</v>
      </c>
      <c r="T693" s="14">
        <v>4.2599999999999999E-2</v>
      </c>
      <c r="U693">
        <v>4.26</v>
      </c>
      <c r="V693" t="str">
        <f>IF(fin_table[[#This Row],[Interest Rate(%)]]&gt;4,"high","low")</f>
        <v>high</v>
      </c>
      <c r="W693" s="5">
        <v>19289.55</v>
      </c>
      <c r="X693" s="5">
        <f>fin_table[[#This Row],[Interest Rate]]*fin_table[[#This Row],[Loan Amount]]</f>
        <v>821.73482999999999</v>
      </c>
      <c r="Y693">
        <v>13</v>
      </c>
      <c r="Z693" s="3">
        <v>322</v>
      </c>
      <c r="AA693" s="3" t="str">
        <f t="shared" si="74"/>
        <v>Poor</v>
      </c>
      <c r="AB693" s="3" cm="1">
        <f t="array" ref="AB693">_xlfn.IFS(fin_table[[#This Row],[Transaction Status]]="Failed", 1, fin_table[[#This Row],[Transaction Status]]="Completed",0,fin_table[[#This Row],[Transaction Status]]="Pending",2)</f>
        <v>1</v>
      </c>
      <c r="AC693" s="3" t="str">
        <f>IF(fin_table[[#This Row],[Loan Defaulters]]=1,"Default", "Good")</f>
        <v>Default</v>
      </c>
      <c r="AD693" s="3">
        <f t="shared" si="75"/>
        <v>1</v>
      </c>
      <c r="AE693" s="4">
        <v>10175.19</v>
      </c>
      <c r="AF693" s="4" t="str">
        <f>IF(fin_table[[#This Row],[Monthly Income]]&lt;3000, "Low Income", IF(fin_table[[#This Row],[Monthly Income]]&lt;=5000, "Middle Income", "High Income"))</f>
        <v>High Income</v>
      </c>
      <c r="AG693" t="s">
        <v>63</v>
      </c>
      <c r="AH693" t="s">
        <v>3636</v>
      </c>
      <c r="AI693" t="str">
        <f t="shared" si="76"/>
        <v>Low-Risk</v>
      </c>
    </row>
    <row r="694" spans="1:35" x14ac:dyDescent="0.35">
      <c r="A694" t="s">
        <v>2578</v>
      </c>
      <c r="B694" t="s">
        <v>2579</v>
      </c>
      <c r="C694" t="s">
        <v>2580</v>
      </c>
      <c r="D694" s="1">
        <v>45057</v>
      </c>
      <c r="E694" s="1" t="str">
        <f t="shared" si="70"/>
        <v>11</v>
      </c>
      <c r="F694" s="1" t="str">
        <f t="shared" si="71"/>
        <v>May</v>
      </c>
      <c r="G694" s="6" t="s">
        <v>34</v>
      </c>
      <c r="H694" s="5">
        <v>3614.91</v>
      </c>
      <c r="I694" s="5" t="str">
        <f>IF(fin_table[[#This Row],[Account Balance]]&lt;20000,"Active", "Not Active")</f>
        <v>Active</v>
      </c>
      <c r="J694" s="5">
        <v>13065.96</v>
      </c>
      <c r="K694" s="5" t="str">
        <f t="shared" si="72"/>
        <v>Medium</v>
      </c>
      <c r="L694" s="6" t="s">
        <v>35</v>
      </c>
      <c r="M694">
        <v>56</v>
      </c>
      <c r="N694" s="6" t="str">
        <f t="shared" si="73"/>
        <v>Older Adults</v>
      </c>
      <c r="O694" s="6" t="s">
        <v>42</v>
      </c>
      <c r="P694" s="6" t="s">
        <v>36</v>
      </c>
      <c r="Q694" t="s">
        <v>2581</v>
      </c>
      <c r="R694" s="6" t="s">
        <v>52</v>
      </c>
      <c r="S694" s="6" t="s">
        <v>62</v>
      </c>
      <c r="T694" s="14">
        <v>4.7399999999999998E-2</v>
      </c>
      <c r="U694">
        <v>4.74</v>
      </c>
      <c r="V694" t="str">
        <f>IF(fin_table[[#This Row],[Interest Rate(%)]]&gt;4,"high","low")</f>
        <v>high</v>
      </c>
      <c r="W694" s="5">
        <v>26681.654999999999</v>
      </c>
      <c r="X694" s="5">
        <f>fin_table[[#This Row],[Interest Rate]]*fin_table[[#This Row],[Loan Amount]]</f>
        <v>1264.7104469999999</v>
      </c>
      <c r="Y694">
        <v>13</v>
      </c>
      <c r="Z694" s="3">
        <v>409</v>
      </c>
      <c r="AA694" s="3" t="str">
        <f t="shared" si="74"/>
        <v>Poor</v>
      </c>
      <c r="AB694" s="3" cm="1">
        <f t="array" ref="AB694">_xlfn.IFS(fin_table[[#This Row],[Transaction Status]]="Failed", 1, fin_table[[#This Row],[Transaction Status]]="Completed",0,fin_table[[#This Row],[Transaction Status]]="Pending",2)</f>
        <v>2</v>
      </c>
      <c r="AC694" s="3" t="str">
        <f>IF(fin_table[[#This Row],[Loan Defaulters]]=1,"Default", "Good")</f>
        <v>Good</v>
      </c>
      <c r="AD694" s="3">
        <f t="shared" si="75"/>
        <v>1</v>
      </c>
      <c r="AE694" s="4">
        <v>11908.22</v>
      </c>
      <c r="AF694" s="4" t="str">
        <f>IF(fin_table[[#This Row],[Monthly Income]]&lt;3000, "Low Income", IF(fin_table[[#This Row],[Monthly Income]]&lt;=5000, "Middle Income", "High Income"))</f>
        <v>High Income</v>
      </c>
      <c r="AG694" t="s">
        <v>63</v>
      </c>
      <c r="AH694" t="s">
        <v>3635</v>
      </c>
      <c r="AI694" t="str">
        <f t="shared" si="76"/>
        <v>Low-Risk</v>
      </c>
    </row>
    <row r="695" spans="1:35" x14ac:dyDescent="0.35">
      <c r="A695" t="s">
        <v>2582</v>
      </c>
      <c r="B695" t="s">
        <v>2583</v>
      </c>
      <c r="C695" t="s">
        <v>2584</v>
      </c>
      <c r="D695" s="1">
        <v>44965</v>
      </c>
      <c r="E695" s="1" t="str">
        <f t="shared" si="70"/>
        <v>08</v>
      </c>
      <c r="F695" s="1" t="str">
        <f t="shared" si="71"/>
        <v>Feb</v>
      </c>
      <c r="G695" s="6" t="s">
        <v>71</v>
      </c>
      <c r="H695" s="5">
        <v>7013.28</v>
      </c>
      <c r="I695" s="5" t="str">
        <f>IF(fin_table[[#This Row],[Account Balance]]&lt;20000,"Active", "Not Active")</f>
        <v>Not Active</v>
      </c>
      <c r="J695" s="5">
        <v>21753.85</v>
      </c>
      <c r="K695" s="5" t="str">
        <f t="shared" si="72"/>
        <v>Medium</v>
      </c>
      <c r="L695" s="6" t="s">
        <v>100</v>
      </c>
      <c r="M695">
        <v>53</v>
      </c>
      <c r="N695" s="6" t="str">
        <f t="shared" si="73"/>
        <v>Older Adults</v>
      </c>
      <c r="O695" s="6" t="s">
        <v>25</v>
      </c>
      <c r="P695" s="6" t="s">
        <v>50</v>
      </c>
      <c r="Q695" t="s">
        <v>2585</v>
      </c>
      <c r="R695" s="6" t="s">
        <v>52</v>
      </c>
      <c r="S695" s="6" t="s">
        <v>44</v>
      </c>
      <c r="T695" s="14">
        <v>4.36E-2</v>
      </c>
      <c r="U695">
        <v>4.3600000000000003</v>
      </c>
      <c r="V695" t="str">
        <f>IF(fin_table[[#This Row],[Interest Rate(%)]]&gt;4,"high","low")</f>
        <v>high</v>
      </c>
      <c r="W695" s="5">
        <v>35119.9</v>
      </c>
      <c r="X695" s="5">
        <f>fin_table[[#This Row],[Interest Rate]]*fin_table[[#This Row],[Loan Amount]]</f>
        <v>1531.2276400000001</v>
      </c>
      <c r="Y695">
        <v>13</v>
      </c>
      <c r="Z695" s="3">
        <v>698</v>
      </c>
      <c r="AA695" s="3" t="str">
        <f t="shared" si="74"/>
        <v>Good</v>
      </c>
      <c r="AB695" s="3" cm="1">
        <f t="array" ref="AB695">_xlfn.IFS(fin_table[[#This Row],[Transaction Status]]="Failed", 1, fin_table[[#This Row],[Transaction Status]]="Completed",0,fin_table[[#This Row],[Transaction Status]]="Pending",2)</f>
        <v>0</v>
      </c>
      <c r="AC695" s="3" t="str">
        <f>IF(fin_table[[#This Row],[Loan Defaulters]]=1,"Default", "Good")</f>
        <v>Good</v>
      </c>
      <c r="AD695" s="3">
        <f t="shared" si="75"/>
        <v>3</v>
      </c>
      <c r="AE695" s="4">
        <v>13394.31</v>
      </c>
      <c r="AF695" s="4" t="str">
        <f>IF(fin_table[[#This Row],[Monthly Income]]&lt;3000, "Low Income", IF(fin_table[[#This Row],[Monthly Income]]&lt;=5000, "Middle Income", "High Income"))</f>
        <v>High Income</v>
      </c>
      <c r="AG695" t="s">
        <v>30</v>
      </c>
      <c r="AH695" t="s">
        <v>3636</v>
      </c>
      <c r="AI695" t="str">
        <f t="shared" si="76"/>
        <v>Low-Risk</v>
      </c>
    </row>
    <row r="696" spans="1:35" x14ac:dyDescent="0.35">
      <c r="A696" t="s">
        <v>2586</v>
      </c>
      <c r="B696" t="s">
        <v>2587</v>
      </c>
      <c r="C696" t="s">
        <v>2588</v>
      </c>
      <c r="D696" s="1">
        <v>44803</v>
      </c>
      <c r="E696" s="1" t="str">
        <f t="shared" si="70"/>
        <v>30</v>
      </c>
      <c r="F696" s="1" t="str">
        <f t="shared" si="71"/>
        <v>Aug</v>
      </c>
      <c r="G696" s="6" t="s">
        <v>71</v>
      </c>
      <c r="H696" s="5">
        <v>4012.54</v>
      </c>
      <c r="I696" s="5" t="str">
        <f>IF(fin_table[[#This Row],[Account Balance]]&lt;20000,"Active", "Not Active")</f>
        <v>Not Active</v>
      </c>
      <c r="J696" s="5">
        <v>39884.959999999999</v>
      </c>
      <c r="K696" s="5" t="str">
        <f t="shared" si="72"/>
        <v>Medium</v>
      </c>
      <c r="L696" s="6" t="s">
        <v>24</v>
      </c>
      <c r="M696">
        <v>57</v>
      </c>
      <c r="N696" s="6" t="str">
        <f t="shared" si="73"/>
        <v>Older Adults</v>
      </c>
      <c r="O696" s="6" t="s">
        <v>25</v>
      </c>
      <c r="P696" s="6" t="s">
        <v>50</v>
      </c>
      <c r="Q696" t="s">
        <v>2589</v>
      </c>
      <c r="R696" s="6" t="s">
        <v>52</v>
      </c>
      <c r="S696" s="6" t="s">
        <v>44</v>
      </c>
      <c r="T696" s="14">
        <v>3.5700000000000003E-2</v>
      </c>
      <c r="U696">
        <v>3.57</v>
      </c>
      <c r="V696" t="str">
        <f>IF(fin_table[[#This Row],[Interest Rate(%)]]&gt;4,"high","low")</f>
        <v>low</v>
      </c>
      <c r="W696" s="5">
        <v>26681.654999999999</v>
      </c>
      <c r="X696" s="5">
        <f>fin_table[[#This Row],[Interest Rate]]*fin_table[[#This Row],[Loan Amount]]</f>
        <v>952.53508350000004</v>
      </c>
      <c r="Y696">
        <v>13</v>
      </c>
      <c r="Z696" s="3">
        <v>471</v>
      </c>
      <c r="AA696" s="3" t="str">
        <f t="shared" si="74"/>
        <v>Poor</v>
      </c>
      <c r="AB696" s="3" cm="1">
        <f t="array" ref="AB696">_xlfn.IFS(fin_table[[#This Row],[Transaction Status]]="Failed", 1, fin_table[[#This Row],[Transaction Status]]="Completed",0,fin_table[[#This Row],[Transaction Status]]="Pending",2)</f>
        <v>0</v>
      </c>
      <c r="AC696" s="3" t="str">
        <f>IF(fin_table[[#This Row],[Loan Defaulters]]=1,"Default", "Good")</f>
        <v>Good</v>
      </c>
      <c r="AD696" s="3">
        <f t="shared" si="75"/>
        <v>1</v>
      </c>
      <c r="AE696" s="4">
        <v>13077.81</v>
      </c>
      <c r="AF696" s="4" t="str">
        <f>IF(fin_table[[#This Row],[Monthly Income]]&lt;3000, "Low Income", IF(fin_table[[#This Row],[Monthly Income]]&lt;=5000, "Middle Income", "High Income"))</f>
        <v>High Income</v>
      </c>
      <c r="AG696" t="s">
        <v>45</v>
      </c>
      <c r="AH696" t="s">
        <v>3635</v>
      </c>
      <c r="AI696" t="str">
        <f t="shared" si="76"/>
        <v>Low-Risk</v>
      </c>
    </row>
    <row r="697" spans="1:35" x14ac:dyDescent="0.35">
      <c r="A697" t="s">
        <v>2590</v>
      </c>
      <c r="B697" t="s">
        <v>2591</v>
      </c>
      <c r="C697" t="s">
        <v>2592</v>
      </c>
      <c r="D697" s="1">
        <v>45103</v>
      </c>
      <c r="E697" s="1" t="str">
        <f t="shared" si="70"/>
        <v>26</v>
      </c>
      <c r="F697" s="1" t="str">
        <f t="shared" si="71"/>
        <v>Jun</v>
      </c>
      <c r="G697" s="6" t="s">
        <v>71</v>
      </c>
      <c r="H697" s="5">
        <v>9533.68</v>
      </c>
      <c r="I697" s="5" t="str">
        <f>IF(fin_table[[#This Row],[Account Balance]]&lt;20000,"Active", "Not Active")</f>
        <v>Active</v>
      </c>
      <c r="J697" s="5">
        <v>2557.15</v>
      </c>
      <c r="K697" s="5" t="str">
        <f t="shared" si="72"/>
        <v>Low</v>
      </c>
      <c r="L697" s="6" t="s">
        <v>24</v>
      </c>
      <c r="M697">
        <v>62</v>
      </c>
      <c r="N697" s="6" t="str">
        <f t="shared" si="73"/>
        <v>Seniors</v>
      </c>
      <c r="O697" s="6" t="s">
        <v>42</v>
      </c>
      <c r="P697" s="6" t="s">
        <v>36</v>
      </c>
      <c r="Q697" t="s">
        <v>2593</v>
      </c>
      <c r="R697" s="6" t="s">
        <v>38</v>
      </c>
      <c r="S697" s="6" t="s">
        <v>29</v>
      </c>
      <c r="T697" s="14">
        <v>3.44E-2</v>
      </c>
      <c r="U697">
        <v>3.44</v>
      </c>
      <c r="V697" t="str">
        <f>IF(fin_table[[#This Row],[Interest Rate(%)]]&gt;4,"high","low")</f>
        <v>low</v>
      </c>
      <c r="W697" s="5">
        <v>15451.96</v>
      </c>
      <c r="X697" s="5">
        <f>fin_table[[#This Row],[Interest Rate]]*fin_table[[#This Row],[Loan Amount]]</f>
        <v>531.54742399999998</v>
      </c>
      <c r="Y697">
        <v>28</v>
      </c>
      <c r="Z697" s="3">
        <v>605</v>
      </c>
      <c r="AA697" s="3" t="str">
        <f t="shared" si="74"/>
        <v>Fair</v>
      </c>
      <c r="AB697" s="3" cm="1">
        <f t="array" ref="AB697">_xlfn.IFS(fin_table[[#This Row],[Transaction Status]]="Failed", 1, fin_table[[#This Row],[Transaction Status]]="Completed",0,fin_table[[#This Row],[Transaction Status]]="Pending",2)</f>
        <v>1</v>
      </c>
      <c r="AC697" s="3" t="str">
        <f>IF(fin_table[[#This Row],[Loan Defaulters]]=1,"Default", "Good")</f>
        <v>Default</v>
      </c>
      <c r="AD697" s="3">
        <f t="shared" si="75"/>
        <v>2</v>
      </c>
      <c r="AE697" s="4">
        <v>14543.48</v>
      </c>
      <c r="AF697" s="4" t="str">
        <f>IF(fin_table[[#This Row],[Monthly Income]]&lt;3000, "Low Income", IF(fin_table[[#This Row],[Monthly Income]]&lt;=5000, "Middle Income", "High Income"))</f>
        <v>High Income</v>
      </c>
      <c r="AG697" t="s">
        <v>45</v>
      </c>
      <c r="AH697" t="s">
        <v>3636</v>
      </c>
      <c r="AI697" t="str">
        <f t="shared" si="76"/>
        <v>Low-Risk</v>
      </c>
    </row>
    <row r="698" spans="1:35" x14ac:dyDescent="0.35">
      <c r="A698" t="s">
        <v>2594</v>
      </c>
      <c r="B698" t="s">
        <v>2595</v>
      </c>
      <c r="C698" t="s">
        <v>2596</v>
      </c>
      <c r="D698" s="1">
        <v>44748</v>
      </c>
      <c r="E698" s="1" t="str">
        <f t="shared" si="70"/>
        <v>06</v>
      </c>
      <c r="F698" s="1" t="str">
        <f t="shared" si="71"/>
        <v>Jul</v>
      </c>
      <c r="G698" s="6" t="s">
        <v>34</v>
      </c>
      <c r="H698" s="5">
        <v>9673.82</v>
      </c>
      <c r="I698" s="5" t="str">
        <f>IF(fin_table[[#This Row],[Account Balance]]&lt;20000,"Active", "Not Active")</f>
        <v>Not Active</v>
      </c>
      <c r="J698" s="5">
        <v>39320.49</v>
      </c>
      <c r="K698" s="5" t="str">
        <f t="shared" si="72"/>
        <v>Medium</v>
      </c>
      <c r="L698" s="6" t="s">
        <v>49</v>
      </c>
      <c r="M698">
        <v>21</v>
      </c>
      <c r="N698" s="6" t="str">
        <f t="shared" si="73"/>
        <v>Young Adults</v>
      </c>
      <c r="O698" s="6" t="s">
        <v>42</v>
      </c>
      <c r="P698" s="6" t="s">
        <v>36</v>
      </c>
      <c r="Q698" t="s">
        <v>1066</v>
      </c>
      <c r="R698" s="6" t="s">
        <v>28</v>
      </c>
      <c r="S698" s="6" t="s">
        <v>29</v>
      </c>
      <c r="T698" s="14">
        <v>2.87E-2</v>
      </c>
      <c r="U698">
        <v>2.87</v>
      </c>
      <c r="V698" t="str">
        <f>IF(fin_table[[#This Row],[Interest Rate(%)]]&gt;4,"high","low")</f>
        <v>low</v>
      </c>
      <c r="W698" s="5">
        <v>26681.654999999999</v>
      </c>
      <c r="X698" s="5">
        <f>fin_table[[#This Row],[Interest Rate]]*fin_table[[#This Row],[Loan Amount]]</f>
        <v>765.76349849999997</v>
      </c>
      <c r="Y698">
        <v>13</v>
      </c>
      <c r="Z698" s="3">
        <v>450</v>
      </c>
      <c r="AA698" s="3" t="str">
        <f t="shared" si="74"/>
        <v>Poor</v>
      </c>
      <c r="AB698" s="3" cm="1">
        <f t="array" ref="AB698">_xlfn.IFS(fin_table[[#This Row],[Transaction Status]]="Failed", 1, fin_table[[#This Row],[Transaction Status]]="Completed",0,fin_table[[#This Row],[Transaction Status]]="Pending",2)</f>
        <v>1</v>
      </c>
      <c r="AC698" s="3" t="str">
        <f>IF(fin_table[[#This Row],[Loan Defaulters]]=1,"Default", "Good")</f>
        <v>Default</v>
      </c>
      <c r="AD698" s="3">
        <f t="shared" si="75"/>
        <v>1</v>
      </c>
      <c r="AE698" s="4">
        <v>9558</v>
      </c>
      <c r="AF698" s="4" t="str">
        <f>IF(fin_table[[#This Row],[Monthly Income]]&lt;3000, "Low Income", IF(fin_table[[#This Row],[Monthly Income]]&lt;=5000, "Middle Income", "High Income"))</f>
        <v>High Income</v>
      </c>
      <c r="AG698" t="s">
        <v>30</v>
      </c>
      <c r="AH698" t="s">
        <v>3635</v>
      </c>
      <c r="AI698" t="str">
        <f t="shared" si="76"/>
        <v>Low-Risk</v>
      </c>
    </row>
    <row r="699" spans="1:35" x14ac:dyDescent="0.35">
      <c r="A699" t="s">
        <v>2597</v>
      </c>
      <c r="B699" t="s">
        <v>2598</v>
      </c>
      <c r="C699" t="s">
        <v>2599</v>
      </c>
      <c r="D699" s="1">
        <v>45158</v>
      </c>
      <c r="E699" s="1" t="str">
        <f t="shared" si="70"/>
        <v>20</v>
      </c>
      <c r="F699" s="1" t="str">
        <f t="shared" si="71"/>
        <v>Aug</v>
      </c>
      <c r="G699" s="6" t="s">
        <v>23</v>
      </c>
      <c r="H699" s="5">
        <v>3988.66</v>
      </c>
      <c r="I699" s="5" t="str">
        <f>IF(fin_table[[#This Row],[Account Balance]]&lt;20000,"Active", "Not Active")</f>
        <v>Active</v>
      </c>
      <c r="J699" s="5">
        <v>12763.47</v>
      </c>
      <c r="K699" s="5" t="str">
        <f t="shared" si="72"/>
        <v>Medium</v>
      </c>
      <c r="L699" s="6" t="s">
        <v>49</v>
      </c>
      <c r="M699">
        <v>55</v>
      </c>
      <c r="N699" s="6" t="str">
        <f t="shared" si="73"/>
        <v>Older Adults</v>
      </c>
      <c r="O699" s="6" t="s">
        <v>25</v>
      </c>
      <c r="P699" s="6" t="s">
        <v>26</v>
      </c>
      <c r="Q699" t="s">
        <v>2224</v>
      </c>
      <c r="R699" s="6" t="s">
        <v>38</v>
      </c>
      <c r="S699" s="6" t="s">
        <v>44</v>
      </c>
      <c r="T699" s="14">
        <v>3.5099999999999999E-2</v>
      </c>
      <c r="U699">
        <v>3.51</v>
      </c>
      <c r="V699" t="str">
        <f>IF(fin_table[[#This Row],[Interest Rate(%)]]&gt;4,"high","low")</f>
        <v>low</v>
      </c>
      <c r="W699" s="5">
        <v>43825.48</v>
      </c>
      <c r="X699" s="5">
        <f>fin_table[[#This Row],[Interest Rate]]*fin_table[[#This Row],[Loan Amount]]</f>
        <v>1538.2743480000001</v>
      </c>
      <c r="Y699">
        <v>23</v>
      </c>
      <c r="Z699" s="3">
        <v>727</v>
      </c>
      <c r="AA699" s="3" t="str">
        <f t="shared" si="74"/>
        <v>Good</v>
      </c>
      <c r="AB699" s="3" cm="1">
        <f t="array" ref="AB699">_xlfn.IFS(fin_table[[#This Row],[Transaction Status]]="Failed", 1, fin_table[[#This Row],[Transaction Status]]="Completed",0,fin_table[[#This Row],[Transaction Status]]="Pending",2)</f>
        <v>0</v>
      </c>
      <c r="AC699" s="3" t="str">
        <f>IF(fin_table[[#This Row],[Loan Defaulters]]=1,"Default", "Good")</f>
        <v>Good</v>
      </c>
      <c r="AD699" s="3">
        <f t="shared" si="75"/>
        <v>3</v>
      </c>
      <c r="AE699" s="4">
        <v>13812.52</v>
      </c>
      <c r="AF699" s="4" t="str">
        <f>IF(fin_table[[#This Row],[Monthly Income]]&lt;3000, "Low Income", IF(fin_table[[#This Row],[Monthly Income]]&lt;=5000, "Middle Income", "High Income"))</f>
        <v>High Income</v>
      </c>
      <c r="AG699" t="s">
        <v>63</v>
      </c>
      <c r="AH699" t="s">
        <v>3636</v>
      </c>
      <c r="AI699" t="str">
        <f t="shared" si="76"/>
        <v>Low-Risk</v>
      </c>
    </row>
    <row r="700" spans="1:35" x14ac:dyDescent="0.35">
      <c r="A700" t="s">
        <v>2600</v>
      </c>
      <c r="B700" t="s">
        <v>2601</v>
      </c>
      <c r="C700" t="s">
        <v>2602</v>
      </c>
      <c r="D700" s="1">
        <v>44668</v>
      </c>
      <c r="E700" s="1" t="str">
        <f t="shared" si="70"/>
        <v>17</v>
      </c>
      <c r="F700" s="1" t="str">
        <f t="shared" si="71"/>
        <v>Apr</v>
      </c>
      <c r="G700" s="6" t="s">
        <v>23</v>
      </c>
      <c r="H700" s="5">
        <v>8556.7999999999993</v>
      </c>
      <c r="I700" s="5" t="str">
        <f>IF(fin_table[[#This Row],[Account Balance]]&lt;20000,"Active", "Not Active")</f>
        <v>Active</v>
      </c>
      <c r="J700" s="5">
        <v>8071.15</v>
      </c>
      <c r="K700" s="5" t="str">
        <f t="shared" si="72"/>
        <v>Low</v>
      </c>
      <c r="L700" s="6" t="s">
        <v>49</v>
      </c>
      <c r="M700">
        <v>42</v>
      </c>
      <c r="N700" s="6" t="str">
        <f t="shared" si="73"/>
        <v>Middle-Aged</v>
      </c>
      <c r="O700" s="6" t="s">
        <v>42</v>
      </c>
      <c r="P700" s="6" t="s">
        <v>50</v>
      </c>
      <c r="Q700" t="s">
        <v>2603</v>
      </c>
      <c r="R700" s="6" t="s">
        <v>52</v>
      </c>
      <c r="S700" s="6" t="s">
        <v>62</v>
      </c>
      <c r="T700" s="14">
        <v>4.1799999999999997E-2</v>
      </c>
      <c r="U700">
        <v>4.18</v>
      </c>
      <c r="V700" t="str">
        <f>IF(fin_table[[#This Row],[Interest Rate(%)]]&gt;4,"high","low")</f>
        <v>high</v>
      </c>
      <c r="W700" s="5">
        <v>26681.654999999999</v>
      </c>
      <c r="X700" s="5">
        <f>fin_table[[#This Row],[Interest Rate]]*fin_table[[#This Row],[Loan Amount]]</f>
        <v>1115.2931789999998</v>
      </c>
      <c r="Y700">
        <v>13</v>
      </c>
      <c r="Z700" s="3">
        <v>766</v>
      </c>
      <c r="AA700" s="3" t="str">
        <f t="shared" si="74"/>
        <v>Very Good</v>
      </c>
      <c r="AB700" s="3" cm="1">
        <f t="array" ref="AB700">_xlfn.IFS(fin_table[[#This Row],[Transaction Status]]="Failed", 1, fin_table[[#This Row],[Transaction Status]]="Completed",0,fin_table[[#This Row],[Transaction Status]]="Pending",2)</f>
        <v>2</v>
      </c>
      <c r="AC700" s="3" t="str">
        <f>IF(fin_table[[#This Row],[Loan Defaulters]]=1,"Default", "Good")</f>
        <v>Good</v>
      </c>
      <c r="AD700" s="3">
        <f t="shared" si="75"/>
        <v>4</v>
      </c>
      <c r="AE700" s="4">
        <v>12510.67</v>
      </c>
      <c r="AF700" s="4" t="str">
        <f>IF(fin_table[[#This Row],[Monthly Income]]&lt;3000, "Low Income", IF(fin_table[[#This Row],[Monthly Income]]&lt;=5000, "Middle Income", "High Income"))</f>
        <v>High Income</v>
      </c>
      <c r="AG700" t="s">
        <v>30</v>
      </c>
      <c r="AH700" t="s">
        <v>3635</v>
      </c>
      <c r="AI700" t="str">
        <f t="shared" si="76"/>
        <v>Low-Risk</v>
      </c>
    </row>
    <row r="701" spans="1:35" x14ac:dyDescent="0.35">
      <c r="A701" t="s">
        <v>2604</v>
      </c>
      <c r="B701" t="s">
        <v>2605</v>
      </c>
      <c r="C701" t="s">
        <v>2606</v>
      </c>
      <c r="D701" s="1">
        <v>44659</v>
      </c>
      <c r="E701" s="1" t="str">
        <f t="shared" si="70"/>
        <v>08</v>
      </c>
      <c r="F701" s="1" t="str">
        <f t="shared" si="71"/>
        <v>Apr</v>
      </c>
      <c r="G701" s="6" t="s">
        <v>23</v>
      </c>
      <c r="H701" s="5">
        <v>7753.58</v>
      </c>
      <c r="I701" s="5" t="str">
        <f>IF(fin_table[[#This Row],[Account Balance]]&lt;20000,"Active", "Not Active")</f>
        <v>Active</v>
      </c>
      <c r="J701" s="5">
        <v>6669.36</v>
      </c>
      <c r="K701" s="5" t="str">
        <f t="shared" si="72"/>
        <v>Low</v>
      </c>
      <c r="L701" s="6" t="s">
        <v>125</v>
      </c>
      <c r="M701">
        <v>22</v>
      </c>
      <c r="N701" s="6" t="str">
        <f t="shared" si="73"/>
        <v>Young Adults</v>
      </c>
      <c r="O701" s="6" t="s">
        <v>42</v>
      </c>
      <c r="P701" s="6" t="s">
        <v>36</v>
      </c>
      <c r="Q701" t="s">
        <v>1348</v>
      </c>
      <c r="R701" s="6" t="s">
        <v>28</v>
      </c>
      <c r="S701" s="6" t="s">
        <v>29</v>
      </c>
      <c r="T701" s="14">
        <v>4.8800000000000003E-2</v>
      </c>
      <c r="U701">
        <v>4.88</v>
      </c>
      <c r="V701" t="str">
        <f>IF(fin_table[[#This Row],[Interest Rate(%)]]&gt;4,"high","low")</f>
        <v>high</v>
      </c>
      <c r="W701" s="5">
        <v>24496.28</v>
      </c>
      <c r="X701" s="5">
        <f>fin_table[[#This Row],[Interest Rate]]*fin_table[[#This Row],[Loan Amount]]</f>
        <v>1195.4184640000001</v>
      </c>
      <c r="Y701">
        <v>20</v>
      </c>
      <c r="Z701" s="3">
        <v>366</v>
      </c>
      <c r="AA701" s="3" t="str">
        <f t="shared" si="74"/>
        <v>Poor</v>
      </c>
      <c r="AB701" s="3" cm="1">
        <f t="array" ref="AB701">_xlfn.IFS(fin_table[[#This Row],[Transaction Status]]="Failed", 1, fin_table[[#This Row],[Transaction Status]]="Completed",0,fin_table[[#This Row],[Transaction Status]]="Pending",2)</f>
        <v>1</v>
      </c>
      <c r="AC701" s="3" t="str">
        <f>IF(fin_table[[#This Row],[Loan Defaulters]]=1,"Default", "Good")</f>
        <v>Default</v>
      </c>
      <c r="AD701" s="3">
        <f t="shared" si="75"/>
        <v>1</v>
      </c>
      <c r="AE701" s="4">
        <v>13630.68</v>
      </c>
      <c r="AF701" s="4" t="str">
        <f>IF(fin_table[[#This Row],[Monthly Income]]&lt;3000, "Low Income", IF(fin_table[[#This Row],[Monthly Income]]&lt;=5000, "Middle Income", "High Income"))</f>
        <v>High Income</v>
      </c>
      <c r="AG701" t="s">
        <v>30</v>
      </c>
      <c r="AH701" t="s">
        <v>3636</v>
      </c>
      <c r="AI701" t="str">
        <f t="shared" si="76"/>
        <v>Low-Risk</v>
      </c>
    </row>
    <row r="702" spans="1:35" x14ac:dyDescent="0.35">
      <c r="A702" t="s">
        <v>2607</v>
      </c>
      <c r="B702" t="s">
        <v>2608</v>
      </c>
      <c r="C702" t="s">
        <v>2609</v>
      </c>
      <c r="D702" s="1">
        <v>44950</v>
      </c>
      <c r="E702" s="1" t="str">
        <f t="shared" si="70"/>
        <v>24</v>
      </c>
      <c r="F702" s="1" t="str">
        <f t="shared" si="71"/>
        <v>Jan</v>
      </c>
      <c r="G702" s="6" t="s">
        <v>56</v>
      </c>
      <c r="H702" s="5">
        <v>3169</v>
      </c>
      <c r="I702" s="5" t="str">
        <f>IF(fin_table[[#This Row],[Account Balance]]&lt;20000,"Active", "Not Active")</f>
        <v>Active</v>
      </c>
      <c r="J702" s="5">
        <v>2335.25</v>
      </c>
      <c r="K702" s="5" t="str">
        <f t="shared" si="72"/>
        <v>Low</v>
      </c>
      <c r="L702" s="6" t="s">
        <v>49</v>
      </c>
      <c r="M702">
        <v>47</v>
      </c>
      <c r="N702" s="6" t="str">
        <f t="shared" si="73"/>
        <v>Older Adults</v>
      </c>
      <c r="O702" s="6" t="s">
        <v>42</v>
      </c>
      <c r="P702" s="6" t="s">
        <v>50</v>
      </c>
      <c r="Q702" t="s">
        <v>2610</v>
      </c>
      <c r="R702" s="6" t="s">
        <v>52</v>
      </c>
      <c r="S702" s="6" t="s">
        <v>62</v>
      </c>
      <c r="T702" s="14">
        <v>2.87E-2</v>
      </c>
      <c r="U702">
        <v>2.87</v>
      </c>
      <c r="V702" t="str">
        <f>IF(fin_table[[#This Row],[Interest Rate(%)]]&gt;4,"high","low")</f>
        <v>low</v>
      </c>
      <c r="W702" s="5">
        <v>26681.654999999999</v>
      </c>
      <c r="X702" s="5">
        <f>fin_table[[#This Row],[Interest Rate]]*fin_table[[#This Row],[Loan Amount]]</f>
        <v>765.76349849999997</v>
      </c>
      <c r="Y702">
        <v>27</v>
      </c>
      <c r="Z702" s="3">
        <v>455</v>
      </c>
      <c r="AA702" s="3" t="str">
        <f t="shared" si="74"/>
        <v>Poor</v>
      </c>
      <c r="AB702" s="3" cm="1">
        <f t="array" ref="AB702">_xlfn.IFS(fin_table[[#This Row],[Transaction Status]]="Failed", 1, fin_table[[#This Row],[Transaction Status]]="Completed",0,fin_table[[#This Row],[Transaction Status]]="Pending",2)</f>
        <v>2</v>
      </c>
      <c r="AC702" s="3" t="str">
        <f>IF(fin_table[[#This Row],[Loan Defaulters]]=1,"Default", "Good")</f>
        <v>Good</v>
      </c>
      <c r="AD702" s="3">
        <f t="shared" si="75"/>
        <v>1</v>
      </c>
      <c r="AE702" s="4">
        <v>2151.15</v>
      </c>
      <c r="AF702" s="4" t="str">
        <f>IF(fin_table[[#This Row],[Monthly Income]]&lt;3000, "Low Income", IF(fin_table[[#This Row],[Monthly Income]]&lt;=5000, "Middle Income", "High Income"))</f>
        <v>Low Income</v>
      </c>
      <c r="AG702" t="s">
        <v>30</v>
      </c>
      <c r="AH702" t="s">
        <v>3635</v>
      </c>
      <c r="AI702" t="str">
        <f t="shared" si="76"/>
        <v>Low-Risk</v>
      </c>
    </row>
    <row r="703" spans="1:35" x14ac:dyDescent="0.35">
      <c r="A703" t="s">
        <v>2611</v>
      </c>
      <c r="B703" t="s">
        <v>2261</v>
      </c>
      <c r="C703" t="s">
        <v>2612</v>
      </c>
      <c r="D703" s="1">
        <v>44578</v>
      </c>
      <c r="E703" s="1" t="str">
        <f t="shared" si="70"/>
        <v>17</v>
      </c>
      <c r="F703" s="1" t="str">
        <f t="shared" si="71"/>
        <v>Jan</v>
      </c>
      <c r="G703" s="6" t="s">
        <v>56</v>
      </c>
      <c r="H703" s="5">
        <v>2397.19</v>
      </c>
      <c r="I703" s="5" t="str">
        <f>IF(fin_table[[#This Row],[Account Balance]]&lt;20000,"Active", "Not Active")</f>
        <v>Not Active</v>
      </c>
      <c r="J703" s="5">
        <v>26655.74</v>
      </c>
      <c r="K703" s="5" t="str">
        <f t="shared" si="72"/>
        <v>Medium</v>
      </c>
      <c r="L703" s="6" t="s">
        <v>24</v>
      </c>
      <c r="M703">
        <v>29</v>
      </c>
      <c r="N703" s="6" t="str">
        <f t="shared" si="73"/>
        <v>Adults</v>
      </c>
      <c r="O703" s="6" t="s">
        <v>42</v>
      </c>
      <c r="P703" s="6" t="s">
        <v>26</v>
      </c>
      <c r="Q703" t="s">
        <v>2613</v>
      </c>
      <c r="R703" s="6" t="s">
        <v>28</v>
      </c>
      <c r="S703" s="6" t="s">
        <v>44</v>
      </c>
      <c r="T703" s="14">
        <v>3.2899999999999999E-2</v>
      </c>
      <c r="U703">
        <v>3.29</v>
      </c>
      <c r="V703" t="str">
        <f>IF(fin_table[[#This Row],[Interest Rate(%)]]&gt;4,"high","low")</f>
        <v>low</v>
      </c>
      <c r="W703" s="5">
        <v>26681.654999999999</v>
      </c>
      <c r="X703" s="5">
        <f>fin_table[[#This Row],[Interest Rate]]*fin_table[[#This Row],[Loan Amount]]</f>
        <v>877.82644949999997</v>
      </c>
      <c r="Y703">
        <v>13</v>
      </c>
      <c r="Z703" s="3">
        <v>505</v>
      </c>
      <c r="AA703" s="3" t="str">
        <f t="shared" si="74"/>
        <v>Poor</v>
      </c>
      <c r="AB703" s="3" cm="1">
        <f t="array" ref="AB703">_xlfn.IFS(fin_table[[#This Row],[Transaction Status]]="Failed", 1, fin_table[[#This Row],[Transaction Status]]="Completed",0,fin_table[[#This Row],[Transaction Status]]="Pending",2)</f>
        <v>0</v>
      </c>
      <c r="AC703" s="3" t="str">
        <f>IF(fin_table[[#This Row],[Loan Defaulters]]=1,"Default", "Good")</f>
        <v>Good</v>
      </c>
      <c r="AD703" s="3">
        <f t="shared" si="75"/>
        <v>1</v>
      </c>
      <c r="AE703" s="4">
        <v>14556.74</v>
      </c>
      <c r="AF703" s="4" t="str">
        <f>IF(fin_table[[#This Row],[Monthly Income]]&lt;3000, "Low Income", IF(fin_table[[#This Row],[Monthly Income]]&lt;=5000, "Middle Income", "High Income"))</f>
        <v>High Income</v>
      </c>
      <c r="AG703" t="s">
        <v>45</v>
      </c>
      <c r="AH703" t="s">
        <v>3635</v>
      </c>
      <c r="AI703" t="str">
        <f t="shared" si="76"/>
        <v>Low-Risk</v>
      </c>
    </row>
    <row r="704" spans="1:35" x14ac:dyDescent="0.35">
      <c r="A704" t="s">
        <v>2614</v>
      </c>
      <c r="B704" t="s">
        <v>2615</v>
      </c>
      <c r="C704" t="s">
        <v>2616</v>
      </c>
      <c r="D704" s="1">
        <v>44884</v>
      </c>
      <c r="E704" s="1" t="str">
        <f t="shared" si="70"/>
        <v>19</v>
      </c>
      <c r="F704" s="1" t="str">
        <f t="shared" si="71"/>
        <v>Nov</v>
      </c>
      <c r="G704" s="6" t="s">
        <v>56</v>
      </c>
      <c r="H704" s="5">
        <v>4636.5200000000004</v>
      </c>
      <c r="I704" s="5" t="str">
        <f>IF(fin_table[[#This Row],[Account Balance]]&lt;20000,"Active", "Not Active")</f>
        <v>Active</v>
      </c>
      <c r="J704" s="5">
        <v>11694.73</v>
      </c>
      <c r="K704" s="5" t="str">
        <f t="shared" si="72"/>
        <v>Medium</v>
      </c>
      <c r="L704" s="6" t="s">
        <v>125</v>
      </c>
      <c r="M704">
        <v>21</v>
      </c>
      <c r="N704" s="6" t="str">
        <f t="shared" si="73"/>
        <v>Young Adults</v>
      </c>
      <c r="O704" s="6" t="s">
        <v>42</v>
      </c>
      <c r="P704" s="6" t="s">
        <v>36</v>
      </c>
      <c r="Q704" t="s">
        <v>634</v>
      </c>
      <c r="R704" s="6" t="s">
        <v>28</v>
      </c>
      <c r="S704" s="6" t="s">
        <v>44</v>
      </c>
      <c r="T704" s="14">
        <v>2.7799999999999998E-2</v>
      </c>
      <c r="U704">
        <v>2.78</v>
      </c>
      <c r="V704" t="str">
        <f>IF(fin_table[[#This Row],[Interest Rate(%)]]&gt;4,"high","low")</f>
        <v>low</v>
      </c>
      <c r="W704" s="5">
        <v>26681.654999999999</v>
      </c>
      <c r="X704" s="5">
        <f>fin_table[[#This Row],[Interest Rate]]*fin_table[[#This Row],[Loan Amount]]</f>
        <v>741.75000899999998</v>
      </c>
      <c r="Y704">
        <v>22</v>
      </c>
      <c r="Z704" s="3">
        <v>454</v>
      </c>
      <c r="AA704" s="3" t="str">
        <f t="shared" si="74"/>
        <v>Poor</v>
      </c>
      <c r="AB704" s="3" cm="1">
        <f t="array" ref="AB704">_xlfn.IFS(fin_table[[#This Row],[Transaction Status]]="Failed", 1, fin_table[[#This Row],[Transaction Status]]="Completed",0,fin_table[[#This Row],[Transaction Status]]="Pending",2)</f>
        <v>0</v>
      </c>
      <c r="AC704" s="3" t="str">
        <f>IF(fin_table[[#This Row],[Loan Defaulters]]=1,"Default", "Good")</f>
        <v>Good</v>
      </c>
      <c r="AD704" s="3">
        <f t="shared" si="75"/>
        <v>1</v>
      </c>
      <c r="AE704" s="4">
        <v>8155.89</v>
      </c>
      <c r="AF704" s="4" t="str">
        <f>IF(fin_table[[#This Row],[Monthly Income]]&lt;3000, "Low Income", IF(fin_table[[#This Row],[Monthly Income]]&lt;=5000, "Middle Income", "High Income"))</f>
        <v>High Income</v>
      </c>
      <c r="AG704" t="s">
        <v>45</v>
      </c>
      <c r="AH704" t="s">
        <v>3635</v>
      </c>
      <c r="AI704" t="str">
        <f t="shared" si="76"/>
        <v>Low-Risk</v>
      </c>
    </row>
    <row r="705" spans="1:35" x14ac:dyDescent="0.35">
      <c r="A705" t="s">
        <v>2617</v>
      </c>
      <c r="B705" t="s">
        <v>1328</v>
      </c>
      <c r="C705" t="s">
        <v>2618</v>
      </c>
      <c r="D705" s="1">
        <v>44773</v>
      </c>
      <c r="E705" s="1" t="str">
        <f t="shared" si="70"/>
        <v>31</v>
      </c>
      <c r="F705" s="1" t="str">
        <f t="shared" si="71"/>
        <v>Jul</v>
      </c>
      <c r="G705" s="6" t="s">
        <v>34</v>
      </c>
      <c r="H705" s="5">
        <v>7835.35</v>
      </c>
      <c r="I705" s="5" t="str">
        <f>IF(fin_table[[#This Row],[Account Balance]]&lt;20000,"Active", "Not Active")</f>
        <v>Not Active</v>
      </c>
      <c r="J705" s="5">
        <v>49482.16</v>
      </c>
      <c r="K705" s="5" t="str">
        <f t="shared" si="72"/>
        <v>Medium</v>
      </c>
      <c r="L705" s="6" t="s">
        <v>35</v>
      </c>
      <c r="M705">
        <v>41</v>
      </c>
      <c r="N705" s="6" t="str">
        <f t="shared" si="73"/>
        <v>Middle-Aged</v>
      </c>
      <c r="O705" s="6" t="s">
        <v>42</v>
      </c>
      <c r="P705" s="6" t="s">
        <v>36</v>
      </c>
      <c r="Q705" t="s">
        <v>675</v>
      </c>
      <c r="R705" s="6" t="s">
        <v>38</v>
      </c>
      <c r="S705" s="6" t="s">
        <v>29</v>
      </c>
      <c r="T705" s="14">
        <v>3.6700000000000003E-2</v>
      </c>
      <c r="U705">
        <v>3.67</v>
      </c>
      <c r="V705" t="str">
        <f>IF(fin_table[[#This Row],[Interest Rate(%)]]&gt;4,"high","low")</f>
        <v>low</v>
      </c>
      <c r="W705" s="5">
        <v>26681.654999999999</v>
      </c>
      <c r="X705" s="5">
        <f>fin_table[[#This Row],[Interest Rate]]*fin_table[[#This Row],[Loan Amount]]</f>
        <v>979.21673850000002</v>
      </c>
      <c r="Y705">
        <v>21</v>
      </c>
      <c r="Z705" s="3">
        <v>808</v>
      </c>
      <c r="AA705" s="3" t="str">
        <f t="shared" si="74"/>
        <v>Excellent</v>
      </c>
      <c r="AB705" s="3" cm="1">
        <f t="array" ref="AB705">_xlfn.IFS(fin_table[[#This Row],[Transaction Status]]="Failed", 1, fin_table[[#This Row],[Transaction Status]]="Completed",0,fin_table[[#This Row],[Transaction Status]]="Pending",2)</f>
        <v>1</v>
      </c>
      <c r="AC705" s="3" t="str">
        <f>IF(fin_table[[#This Row],[Loan Defaulters]]=1,"Default", "Good")</f>
        <v>Default</v>
      </c>
      <c r="AD705" s="3">
        <f t="shared" si="75"/>
        <v>5</v>
      </c>
      <c r="AE705" s="4">
        <v>12376.38</v>
      </c>
      <c r="AF705" s="4" t="str">
        <f>IF(fin_table[[#This Row],[Monthly Income]]&lt;3000, "Low Income", IF(fin_table[[#This Row],[Monthly Income]]&lt;=5000, "Middle Income", "High Income"))</f>
        <v>High Income</v>
      </c>
      <c r="AG705" t="s">
        <v>63</v>
      </c>
      <c r="AH705" t="s">
        <v>3635</v>
      </c>
      <c r="AI705" t="str">
        <f t="shared" si="76"/>
        <v>Low-Risk</v>
      </c>
    </row>
    <row r="706" spans="1:35" x14ac:dyDescent="0.35">
      <c r="A706" t="s">
        <v>2619</v>
      </c>
      <c r="B706" t="s">
        <v>2620</v>
      </c>
      <c r="C706" t="s">
        <v>2621</v>
      </c>
      <c r="D706" s="1">
        <v>44987</v>
      </c>
      <c r="E706" s="1" t="str">
        <f t="shared" ref="E706:E769" si="77">TEXT(D706, "DD")</f>
        <v>02</v>
      </c>
      <c r="F706" s="1" t="str">
        <f t="shared" ref="F706:F769" si="78">TEXT(D706, "MMM")</f>
        <v>Mar</v>
      </c>
      <c r="G706" s="6" t="s">
        <v>56</v>
      </c>
      <c r="H706" s="5">
        <v>9605.66</v>
      </c>
      <c r="I706" s="5" t="str">
        <f>IF(fin_table[[#This Row],[Account Balance]]&lt;20000,"Active", "Not Active")</f>
        <v>Not Active</v>
      </c>
      <c r="J706" s="5">
        <v>29147.4</v>
      </c>
      <c r="K706" s="5" t="str">
        <f t="shared" ref="K706:K769" si="79">IF(J706&lt;10000, "Low", IF(J706&lt;50000, "Medium", "High"))</f>
        <v>Medium</v>
      </c>
      <c r="L706" s="6" t="s">
        <v>100</v>
      </c>
      <c r="M706">
        <v>46</v>
      </c>
      <c r="N706" s="6" t="str">
        <f t="shared" ref="N706:N769" si="80">IF(M706&lt;18, "Teenagers", IF(M706&lt;=25, "Young Adults", IF(M706&lt;=35, "Adults", IF(M706&lt;=45, "Middle-Aged", IF(M706&lt;=60, "Older Adults", "Seniors")))))</f>
        <v>Older Adults</v>
      </c>
      <c r="O706" s="6" t="s">
        <v>42</v>
      </c>
      <c r="P706" s="6" t="s">
        <v>36</v>
      </c>
      <c r="Q706" t="s">
        <v>445</v>
      </c>
      <c r="R706" s="6" t="s">
        <v>38</v>
      </c>
      <c r="S706" s="6" t="s">
        <v>62</v>
      </c>
      <c r="T706" s="14">
        <v>3.5200000000000002E-2</v>
      </c>
      <c r="U706">
        <v>3.52</v>
      </c>
      <c r="V706" t="str">
        <f>IF(fin_table[[#This Row],[Interest Rate(%)]]&gt;4,"high","low")</f>
        <v>low</v>
      </c>
      <c r="W706" s="5">
        <v>35215.61</v>
      </c>
      <c r="X706" s="5">
        <f>fin_table[[#This Row],[Interest Rate]]*fin_table[[#This Row],[Loan Amount]]</f>
        <v>1239.5894720000001</v>
      </c>
      <c r="Y706">
        <v>29</v>
      </c>
      <c r="Z706" s="3">
        <v>373</v>
      </c>
      <c r="AA706" s="3" t="str">
        <f t="shared" ref="AA706:AA769" si="81">IF(Z706&lt;580, "Poor", IF(Z706&lt;670, "Fair", IF(Z706&lt;740, "Good", IF(Z706&lt;800, "Very Good", "Excellent"))))</f>
        <v>Poor</v>
      </c>
      <c r="AB706" s="3" cm="1">
        <f t="array" ref="AB706">_xlfn.IFS(fin_table[[#This Row],[Transaction Status]]="Failed", 1, fin_table[[#This Row],[Transaction Status]]="Completed",0,fin_table[[#This Row],[Transaction Status]]="Pending",2)</f>
        <v>2</v>
      </c>
      <c r="AC706" s="3" t="str">
        <f>IF(fin_table[[#This Row],[Loan Defaulters]]=1,"Default", "Good")</f>
        <v>Good</v>
      </c>
      <c r="AD706" s="3">
        <f t="shared" ref="AD706:AD769" si="82">IF(AA706="Poor", 1, IF(AA706="Fair", 2, IF(AA706="Good", 3, IF(AA706="Very Good", 4, IF(AA706="Excellent", 5, "")))))</f>
        <v>1</v>
      </c>
      <c r="AE706" s="4">
        <v>3653.65</v>
      </c>
      <c r="AF706" s="4" t="str">
        <f>IF(fin_table[[#This Row],[Monthly Income]]&lt;3000, "Low Income", IF(fin_table[[#This Row],[Monthly Income]]&lt;=5000, "Middle Income", "High Income"))</f>
        <v>Middle Income</v>
      </c>
      <c r="AG706" t="s">
        <v>63</v>
      </c>
      <c r="AH706" t="s">
        <v>3636</v>
      </c>
      <c r="AI706" t="str">
        <f t="shared" ref="AI706:AI769" si="83">IF(AND(W706&gt;33000, Z706&lt;600), "High-Risk", "Low-Risk")</f>
        <v>High-Risk</v>
      </c>
    </row>
    <row r="707" spans="1:35" x14ac:dyDescent="0.35">
      <c r="A707" t="s">
        <v>2622</v>
      </c>
      <c r="B707" t="s">
        <v>2623</v>
      </c>
      <c r="C707" t="s">
        <v>2624</v>
      </c>
      <c r="D707" s="1">
        <v>44670</v>
      </c>
      <c r="E707" s="1" t="str">
        <f t="shared" si="77"/>
        <v>19</v>
      </c>
      <c r="F707" s="1" t="str">
        <f t="shared" si="78"/>
        <v>Apr</v>
      </c>
      <c r="G707" s="6" t="s">
        <v>34</v>
      </c>
      <c r="H707" s="5">
        <v>7659.43</v>
      </c>
      <c r="I707" s="5" t="str">
        <f>IF(fin_table[[#This Row],[Account Balance]]&lt;20000,"Active", "Not Active")</f>
        <v>Active</v>
      </c>
      <c r="J707" s="5">
        <v>7756.38</v>
      </c>
      <c r="K707" s="5" t="str">
        <f t="shared" si="79"/>
        <v>Low</v>
      </c>
      <c r="L707" s="6" t="s">
        <v>49</v>
      </c>
      <c r="M707">
        <v>26</v>
      </c>
      <c r="N707" s="6" t="str">
        <f t="shared" si="80"/>
        <v>Adults</v>
      </c>
      <c r="O707" s="6" t="s">
        <v>25</v>
      </c>
      <c r="P707" s="6" t="s">
        <v>50</v>
      </c>
      <c r="Q707" t="s">
        <v>538</v>
      </c>
      <c r="R707" s="6" t="s">
        <v>52</v>
      </c>
      <c r="S707" s="6" t="s">
        <v>29</v>
      </c>
      <c r="T707" s="14">
        <v>1.0699999999999999E-2</v>
      </c>
      <c r="U707">
        <v>1.07</v>
      </c>
      <c r="V707" t="str">
        <f>IF(fin_table[[#This Row],[Interest Rate(%)]]&gt;4,"high","low")</f>
        <v>low</v>
      </c>
      <c r="W707" s="5">
        <v>26681.654999999999</v>
      </c>
      <c r="X707" s="5">
        <f>fin_table[[#This Row],[Interest Rate]]*fin_table[[#This Row],[Loan Amount]]</f>
        <v>285.49370849999997</v>
      </c>
      <c r="Y707">
        <v>13</v>
      </c>
      <c r="Z707" s="3">
        <v>348</v>
      </c>
      <c r="AA707" s="3" t="str">
        <f t="shared" si="81"/>
        <v>Poor</v>
      </c>
      <c r="AB707" s="3" cm="1">
        <f t="array" ref="AB707">_xlfn.IFS(fin_table[[#This Row],[Transaction Status]]="Failed", 1, fin_table[[#This Row],[Transaction Status]]="Completed",0,fin_table[[#This Row],[Transaction Status]]="Pending",2)</f>
        <v>1</v>
      </c>
      <c r="AC707" s="3" t="str">
        <f>IF(fin_table[[#This Row],[Loan Defaulters]]=1,"Default", "Good")</f>
        <v>Default</v>
      </c>
      <c r="AD707" s="3">
        <f t="shared" si="82"/>
        <v>1</v>
      </c>
      <c r="AE707" s="4">
        <v>7147.23</v>
      </c>
      <c r="AF707" s="4" t="str">
        <f>IF(fin_table[[#This Row],[Monthly Income]]&lt;3000, "Low Income", IF(fin_table[[#This Row],[Monthly Income]]&lt;=5000, "Middle Income", "High Income"))</f>
        <v>High Income</v>
      </c>
      <c r="AG707" t="s">
        <v>30</v>
      </c>
      <c r="AH707" t="s">
        <v>3635</v>
      </c>
      <c r="AI707" t="str">
        <f t="shared" si="83"/>
        <v>Low-Risk</v>
      </c>
    </row>
    <row r="708" spans="1:35" x14ac:dyDescent="0.35">
      <c r="A708" t="s">
        <v>2625</v>
      </c>
      <c r="B708" t="s">
        <v>2626</v>
      </c>
      <c r="C708" t="s">
        <v>2627</v>
      </c>
      <c r="D708" s="1">
        <v>44751</v>
      </c>
      <c r="E708" s="1" t="str">
        <f t="shared" si="77"/>
        <v>09</v>
      </c>
      <c r="F708" s="1" t="str">
        <f t="shared" si="78"/>
        <v>Jul</v>
      </c>
      <c r="G708" s="6" t="s">
        <v>23</v>
      </c>
      <c r="H708" s="5">
        <v>8566.5499999999993</v>
      </c>
      <c r="I708" s="5" t="str">
        <f>IF(fin_table[[#This Row],[Account Balance]]&lt;20000,"Active", "Not Active")</f>
        <v>Not Active</v>
      </c>
      <c r="J708" s="5">
        <v>34749.360000000001</v>
      </c>
      <c r="K708" s="5" t="str">
        <f t="shared" si="79"/>
        <v>Medium</v>
      </c>
      <c r="L708" s="6" t="s">
        <v>35</v>
      </c>
      <c r="M708">
        <v>21</v>
      </c>
      <c r="N708" s="6" t="str">
        <f t="shared" si="80"/>
        <v>Young Adults</v>
      </c>
      <c r="O708" s="6" t="s">
        <v>25</v>
      </c>
      <c r="P708" s="6" t="s">
        <v>26</v>
      </c>
      <c r="Q708" t="s">
        <v>2628</v>
      </c>
      <c r="R708" s="6" t="s">
        <v>38</v>
      </c>
      <c r="S708" s="6" t="s">
        <v>44</v>
      </c>
      <c r="T708" s="14">
        <v>3.1600000000000003E-2</v>
      </c>
      <c r="U708">
        <v>3.16</v>
      </c>
      <c r="V708" t="str">
        <f>IF(fin_table[[#This Row],[Interest Rate(%)]]&gt;4,"high","low")</f>
        <v>low</v>
      </c>
      <c r="W708" s="5">
        <v>26681.654999999999</v>
      </c>
      <c r="X708" s="5">
        <f>fin_table[[#This Row],[Interest Rate]]*fin_table[[#This Row],[Loan Amount]]</f>
        <v>843.14029800000003</v>
      </c>
      <c r="Y708">
        <v>13</v>
      </c>
      <c r="Z708" s="3">
        <v>766</v>
      </c>
      <c r="AA708" s="3" t="str">
        <f t="shared" si="81"/>
        <v>Very Good</v>
      </c>
      <c r="AB708" s="3" cm="1">
        <f t="array" ref="AB708">_xlfn.IFS(fin_table[[#This Row],[Transaction Status]]="Failed", 1, fin_table[[#This Row],[Transaction Status]]="Completed",0,fin_table[[#This Row],[Transaction Status]]="Pending",2)</f>
        <v>0</v>
      </c>
      <c r="AC708" s="3" t="str">
        <f>IF(fin_table[[#This Row],[Loan Defaulters]]=1,"Default", "Good")</f>
        <v>Good</v>
      </c>
      <c r="AD708" s="3">
        <f t="shared" si="82"/>
        <v>4</v>
      </c>
      <c r="AE708" s="4">
        <v>5528.99</v>
      </c>
      <c r="AF708" s="4" t="str">
        <f>IF(fin_table[[#This Row],[Monthly Income]]&lt;3000, "Low Income", IF(fin_table[[#This Row],[Monthly Income]]&lt;=5000, "Middle Income", "High Income"))</f>
        <v>High Income</v>
      </c>
      <c r="AG708" t="s">
        <v>63</v>
      </c>
      <c r="AH708" t="s">
        <v>3635</v>
      </c>
      <c r="AI708" t="str">
        <f t="shared" si="83"/>
        <v>Low-Risk</v>
      </c>
    </row>
    <row r="709" spans="1:35" x14ac:dyDescent="0.35">
      <c r="A709" t="s">
        <v>2629</v>
      </c>
      <c r="B709" t="s">
        <v>2630</v>
      </c>
      <c r="C709" t="s">
        <v>2631</v>
      </c>
      <c r="D709" s="1">
        <v>44709</v>
      </c>
      <c r="E709" s="1" t="str">
        <f t="shared" si="77"/>
        <v>28</v>
      </c>
      <c r="F709" s="1" t="str">
        <f t="shared" si="78"/>
        <v>May</v>
      </c>
      <c r="G709" s="6" t="s">
        <v>56</v>
      </c>
      <c r="H709" s="5">
        <v>6070.34</v>
      </c>
      <c r="I709" s="5" t="str">
        <f>IF(fin_table[[#This Row],[Account Balance]]&lt;20000,"Active", "Not Active")</f>
        <v>Not Active</v>
      </c>
      <c r="J709" s="5">
        <v>44989.43</v>
      </c>
      <c r="K709" s="5" t="str">
        <f t="shared" si="79"/>
        <v>Medium</v>
      </c>
      <c r="L709" s="6" t="s">
        <v>24</v>
      </c>
      <c r="M709">
        <v>68</v>
      </c>
      <c r="N709" s="6" t="str">
        <f t="shared" si="80"/>
        <v>Seniors</v>
      </c>
      <c r="O709" s="6" t="s">
        <v>42</v>
      </c>
      <c r="P709" s="6" t="s">
        <v>50</v>
      </c>
      <c r="Q709" t="s">
        <v>910</v>
      </c>
      <c r="R709" s="6" t="s">
        <v>38</v>
      </c>
      <c r="S709" s="6" t="s">
        <v>62</v>
      </c>
      <c r="T709" s="14">
        <v>1.35E-2</v>
      </c>
      <c r="U709">
        <v>1.35</v>
      </c>
      <c r="V709" t="str">
        <f>IF(fin_table[[#This Row],[Interest Rate(%)]]&gt;4,"high","low")</f>
        <v>low</v>
      </c>
      <c r="W709" s="5">
        <v>36464.39</v>
      </c>
      <c r="X709" s="5">
        <f>fin_table[[#This Row],[Interest Rate]]*fin_table[[#This Row],[Loan Amount]]</f>
        <v>492.26926499999996</v>
      </c>
      <c r="Y709">
        <v>13</v>
      </c>
      <c r="Z709" s="3">
        <v>478</v>
      </c>
      <c r="AA709" s="3" t="str">
        <f t="shared" si="81"/>
        <v>Poor</v>
      </c>
      <c r="AB709" s="3" cm="1">
        <f t="array" ref="AB709">_xlfn.IFS(fin_table[[#This Row],[Transaction Status]]="Failed", 1, fin_table[[#This Row],[Transaction Status]]="Completed",0,fin_table[[#This Row],[Transaction Status]]="Pending",2)</f>
        <v>2</v>
      </c>
      <c r="AC709" s="3" t="str">
        <f>IF(fin_table[[#This Row],[Loan Defaulters]]=1,"Default", "Good")</f>
        <v>Good</v>
      </c>
      <c r="AD709" s="3">
        <f t="shared" si="82"/>
        <v>1</v>
      </c>
      <c r="AE709" s="4">
        <v>5791.56</v>
      </c>
      <c r="AF709" s="4" t="str">
        <f>IF(fin_table[[#This Row],[Monthly Income]]&lt;3000, "Low Income", IF(fin_table[[#This Row],[Monthly Income]]&lt;=5000, "Middle Income", "High Income"))</f>
        <v>High Income</v>
      </c>
      <c r="AG709" t="s">
        <v>30</v>
      </c>
      <c r="AH709" t="s">
        <v>3636</v>
      </c>
      <c r="AI709" t="str">
        <f t="shared" si="83"/>
        <v>High-Risk</v>
      </c>
    </row>
    <row r="710" spans="1:35" x14ac:dyDescent="0.35">
      <c r="A710" t="s">
        <v>2632</v>
      </c>
      <c r="B710" t="s">
        <v>2633</v>
      </c>
      <c r="C710" t="s">
        <v>2634</v>
      </c>
      <c r="D710" s="1">
        <v>44759</v>
      </c>
      <c r="E710" s="1" t="str">
        <f t="shared" si="77"/>
        <v>17</v>
      </c>
      <c r="F710" s="1" t="str">
        <f t="shared" si="78"/>
        <v>Jul</v>
      </c>
      <c r="G710" s="6" t="s">
        <v>56</v>
      </c>
      <c r="H710" s="5">
        <v>8370.5400000000009</v>
      </c>
      <c r="I710" s="5" t="str">
        <f>IF(fin_table[[#This Row],[Account Balance]]&lt;20000,"Active", "Not Active")</f>
        <v>Not Active</v>
      </c>
      <c r="J710" s="5">
        <v>37513.800000000003</v>
      </c>
      <c r="K710" s="5" t="str">
        <f t="shared" si="79"/>
        <v>Medium</v>
      </c>
      <c r="L710" s="6" t="s">
        <v>100</v>
      </c>
      <c r="M710">
        <v>41</v>
      </c>
      <c r="N710" s="6" t="str">
        <f t="shared" si="80"/>
        <v>Middle-Aged</v>
      </c>
      <c r="O710" s="6" t="s">
        <v>42</v>
      </c>
      <c r="P710" s="6" t="s">
        <v>36</v>
      </c>
      <c r="Q710" t="s">
        <v>2635</v>
      </c>
      <c r="R710" s="6" t="s">
        <v>38</v>
      </c>
      <c r="S710" s="6" t="s">
        <v>29</v>
      </c>
      <c r="T710" s="14">
        <v>1.11E-2</v>
      </c>
      <c r="U710">
        <v>1.1100000000000001</v>
      </c>
      <c r="V710" t="str">
        <f>IF(fin_table[[#This Row],[Interest Rate(%)]]&gt;4,"high","low")</f>
        <v>low</v>
      </c>
      <c r="W710" s="5">
        <v>26681.654999999999</v>
      </c>
      <c r="X710" s="5">
        <f>fin_table[[#This Row],[Interest Rate]]*fin_table[[#This Row],[Loan Amount]]</f>
        <v>296.16637050000003</v>
      </c>
      <c r="Y710">
        <v>3</v>
      </c>
      <c r="Z710" s="3">
        <v>347</v>
      </c>
      <c r="AA710" s="3" t="str">
        <f t="shared" si="81"/>
        <v>Poor</v>
      </c>
      <c r="AB710" s="3" cm="1">
        <f t="array" ref="AB710">_xlfn.IFS(fin_table[[#This Row],[Transaction Status]]="Failed", 1, fin_table[[#This Row],[Transaction Status]]="Completed",0,fin_table[[#This Row],[Transaction Status]]="Pending",2)</f>
        <v>1</v>
      </c>
      <c r="AC710" s="3" t="str">
        <f>IF(fin_table[[#This Row],[Loan Defaulters]]=1,"Default", "Good")</f>
        <v>Default</v>
      </c>
      <c r="AD710" s="3">
        <f t="shared" si="82"/>
        <v>1</v>
      </c>
      <c r="AE710" s="4">
        <v>3602.32</v>
      </c>
      <c r="AF710" s="4" t="str">
        <f>IF(fin_table[[#This Row],[Monthly Income]]&lt;3000, "Low Income", IF(fin_table[[#This Row],[Monthly Income]]&lt;=5000, "Middle Income", "High Income"))</f>
        <v>Middle Income</v>
      </c>
      <c r="AG710" t="s">
        <v>63</v>
      </c>
      <c r="AH710" t="s">
        <v>3635</v>
      </c>
      <c r="AI710" t="str">
        <f t="shared" si="83"/>
        <v>Low-Risk</v>
      </c>
    </row>
    <row r="711" spans="1:35" x14ac:dyDescent="0.35">
      <c r="A711" t="s">
        <v>2636</v>
      </c>
      <c r="B711" t="s">
        <v>2637</v>
      </c>
      <c r="C711" t="s">
        <v>2638</v>
      </c>
      <c r="D711" s="1">
        <v>45079</v>
      </c>
      <c r="E711" s="1" t="str">
        <f t="shared" si="77"/>
        <v>02</v>
      </c>
      <c r="F711" s="1" t="str">
        <f t="shared" si="78"/>
        <v>Jun</v>
      </c>
      <c r="G711" s="6" t="s">
        <v>71</v>
      </c>
      <c r="H711" s="5">
        <v>7865.77</v>
      </c>
      <c r="I711" s="5" t="str">
        <f>IF(fin_table[[#This Row],[Account Balance]]&lt;20000,"Active", "Not Active")</f>
        <v>Active</v>
      </c>
      <c r="J711" s="5">
        <v>4745.55</v>
      </c>
      <c r="K711" s="5" t="str">
        <f t="shared" si="79"/>
        <v>Low</v>
      </c>
      <c r="L711" s="6" t="s">
        <v>35</v>
      </c>
      <c r="M711">
        <v>31</v>
      </c>
      <c r="N711" s="6" t="str">
        <f t="shared" si="80"/>
        <v>Adults</v>
      </c>
      <c r="O711" s="6" t="s">
        <v>42</v>
      </c>
      <c r="P711" s="6" t="s">
        <v>26</v>
      </c>
      <c r="Q711" t="s">
        <v>974</v>
      </c>
      <c r="R711" s="6" t="s">
        <v>28</v>
      </c>
      <c r="S711" s="6" t="s">
        <v>29</v>
      </c>
      <c r="T711" s="14">
        <v>4.1599999999999998E-2</v>
      </c>
      <c r="U711">
        <v>4.16</v>
      </c>
      <c r="V711" t="str">
        <f>IF(fin_table[[#This Row],[Interest Rate(%)]]&gt;4,"high","low")</f>
        <v>high</v>
      </c>
      <c r="W711" s="5">
        <v>23486.42</v>
      </c>
      <c r="X711" s="5">
        <f>fin_table[[#This Row],[Interest Rate]]*fin_table[[#This Row],[Loan Amount]]</f>
        <v>977.0350719999999</v>
      </c>
      <c r="Y711">
        <v>5</v>
      </c>
      <c r="Z711" s="3">
        <v>371</v>
      </c>
      <c r="AA711" s="3" t="str">
        <f t="shared" si="81"/>
        <v>Poor</v>
      </c>
      <c r="AB711" s="3" cm="1">
        <f t="array" ref="AB711">_xlfn.IFS(fin_table[[#This Row],[Transaction Status]]="Failed", 1, fin_table[[#This Row],[Transaction Status]]="Completed",0,fin_table[[#This Row],[Transaction Status]]="Pending",2)</f>
        <v>1</v>
      </c>
      <c r="AC711" s="3" t="str">
        <f>IF(fin_table[[#This Row],[Loan Defaulters]]=1,"Default", "Good")</f>
        <v>Default</v>
      </c>
      <c r="AD711" s="3">
        <f t="shared" si="82"/>
        <v>1</v>
      </c>
      <c r="AE711" s="4">
        <v>12474.93</v>
      </c>
      <c r="AF711" s="4" t="str">
        <f>IF(fin_table[[#This Row],[Monthly Income]]&lt;3000, "Low Income", IF(fin_table[[#This Row],[Monthly Income]]&lt;=5000, "Middle Income", "High Income"))</f>
        <v>High Income</v>
      </c>
      <c r="AG711" t="s">
        <v>30</v>
      </c>
      <c r="AH711" t="s">
        <v>3636</v>
      </c>
      <c r="AI711" t="str">
        <f t="shared" si="83"/>
        <v>Low-Risk</v>
      </c>
    </row>
    <row r="712" spans="1:35" x14ac:dyDescent="0.35">
      <c r="A712" t="s">
        <v>2639</v>
      </c>
      <c r="B712" t="s">
        <v>2640</v>
      </c>
      <c r="C712" t="s">
        <v>2641</v>
      </c>
      <c r="D712" s="1">
        <v>45028</v>
      </c>
      <c r="E712" s="1" t="str">
        <f t="shared" si="77"/>
        <v>12</v>
      </c>
      <c r="F712" s="1" t="str">
        <f t="shared" si="78"/>
        <v>Apr</v>
      </c>
      <c r="G712" s="6" t="s">
        <v>34</v>
      </c>
      <c r="H712" s="5">
        <v>3832.16</v>
      </c>
      <c r="I712" s="5" t="str">
        <f>IF(fin_table[[#This Row],[Account Balance]]&lt;20000,"Active", "Not Active")</f>
        <v>Not Active</v>
      </c>
      <c r="J712" s="5">
        <v>44898.32</v>
      </c>
      <c r="K712" s="5" t="str">
        <f t="shared" si="79"/>
        <v>Medium</v>
      </c>
      <c r="L712" s="6" t="s">
        <v>100</v>
      </c>
      <c r="M712">
        <v>22</v>
      </c>
      <c r="N712" s="6" t="str">
        <f t="shared" si="80"/>
        <v>Young Adults</v>
      </c>
      <c r="O712" s="6" t="s">
        <v>25</v>
      </c>
      <c r="P712" s="6" t="s">
        <v>36</v>
      </c>
      <c r="Q712" t="s">
        <v>810</v>
      </c>
      <c r="R712" s="6" t="s">
        <v>38</v>
      </c>
      <c r="S712" s="6" t="s">
        <v>29</v>
      </c>
      <c r="T712" s="14">
        <v>2.0299999999999999E-2</v>
      </c>
      <c r="U712">
        <v>2.0299999999999998</v>
      </c>
      <c r="V712" t="str">
        <f>IF(fin_table[[#This Row],[Interest Rate(%)]]&gt;4,"high","low")</f>
        <v>low</v>
      </c>
      <c r="W712" s="5">
        <v>26681.654999999999</v>
      </c>
      <c r="X712" s="5">
        <f>fin_table[[#This Row],[Interest Rate]]*fin_table[[#This Row],[Loan Amount]]</f>
        <v>541.63759649999997</v>
      </c>
      <c r="Y712">
        <v>9</v>
      </c>
      <c r="Z712" s="3">
        <v>412</v>
      </c>
      <c r="AA712" s="3" t="str">
        <f t="shared" si="81"/>
        <v>Poor</v>
      </c>
      <c r="AB712" s="3" cm="1">
        <f t="array" ref="AB712">_xlfn.IFS(fin_table[[#This Row],[Transaction Status]]="Failed", 1, fin_table[[#This Row],[Transaction Status]]="Completed",0,fin_table[[#This Row],[Transaction Status]]="Pending",2)</f>
        <v>1</v>
      </c>
      <c r="AC712" s="3" t="str">
        <f>IF(fin_table[[#This Row],[Loan Defaulters]]=1,"Default", "Good")</f>
        <v>Default</v>
      </c>
      <c r="AD712" s="3">
        <f t="shared" si="82"/>
        <v>1</v>
      </c>
      <c r="AE712" s="4">
        <v>2120.15</v>
      </c>
      <c r="AF712" s="4" t="str">
        <f>IF(fin_table[[#This Row],[Monthly Income]]&lt;3000, "Low Income", IF(fin_table[[#This Row],[Monthly Income]]&lt;=5000, "Middle Income", "High Income"))</f>
        <v>Low Income</v>
      </c>
      <c r="AG712" t="s">
        <v>45</v>
      </c>
      <c r="AH712" t="s">
        <v>3635</v>
      </c>
      <c r="AI712" t="str">
        <f t="shared" si="83"/>
        <v>Low-Risk</v>
      </c>
    </row>
    <row r="713" spans="1:35" x14ac:dyDescent="0.35">
      <c r="A713" t="s">
        <v>2642</v>
      </c>
      <c r="B713" t="s">
        <v>2643</v>
      </c>
      <c r="C713" t="s">
        <v>2644</v>
      </c>
      <c r="D713" s="1">
        <v>45065</v>
      </c>
      <c r="E713" s="1" t="str">
        <f t="shared" si="77"/>
        <v>19</v>
      </c>
      <c r="F713" s="1" t="str">
        <f t="shared" si="78"/>
        <v>May</v>
      </c>
      <c r="G713" s="6" t="s">
        <v>23</v>
      </c>
      <c r="H713" s="5">
        <v>5564.7</v>
      </c>
      <c r="I713" s="5" t="str">
        <f>IF(fin_table[[#This Row],[Account Balance]]&lt;20000,"Active", "Not Active")</f>
        <v>Not Active</v>
      </c>
      <c r="J713" s="5">
        <v>39902.54</v>
      </c>
      <c r="K713" s="5" t="str">
        <f t="shared" si="79"/>
        <v>Medium</v>
      </c>
      <c r="L713" s="6" t="s">
        <v>49</v>
      </c>
      <c r="M713">
        <v>35</v>
      </c>
      <c r="N713" s="6" t="str">
        <f t="shared" si="80"/>
        <v>Adults</v>
      </c>
      <c r="O713" s="6" t="s">
        <v>25</v>
      </c>
      <c r="P713" s="6" t="s">
        <v>36</v>
      </c>
      <c r="Q713" t="s">
        <v>955</v>
      </c>
      <c r="R713" s="6" t="s">
        <v>52</v>
      </c>
      <c r="S713" s="6" t="s">
        <v>44</v>
      </c>
      <c r="T713" s="14">
        <v>2.3599999999999999E-2</v>
      </c>
      <c r="U713">
        <v>2.36</v>
      </c>
      <c r="V713" t="str">
        <f>IF(fin_table[[#This Row],[Interest Rate(%)]]&gt;4,"high","low")</f>
        <v>low</v>
      </c>
      <c r="W713" s="5">
        <v>26681.654999999999</v>
      </c>
      <c r="X713" s="5">
        <f>fin_table[[#This Row],[Interest Rate]]*fin_table[[#This Row],[Loan Amount]]</f>
        <v>629.68705799999998</v>
      </c>
      <c r="Y713">
        <v>7</v>
      </c>
      <c r="Z713" s="3">
        <v>458</v>
      </c>
      <c r="AA713" s="3" t="str">
        <f t="shared" si="81"/>
        <v>Poor</v>
      </c>
      <c r="AB713" s="3" cm="1">
        <f t="array" ref="AB713">_xlfn.IFS(fin_table[[#This Row],[Transaction Status]]="Failed", 1, fin_table[[#This Row],[Transaction Status]]="Completed",0,fin_table[[#This Row],[Transaction Status]]="Pending",2)</f>
        <v>0</v>
      </c>
      <c r="AC713" s="3" t="str">
        <f>IF(fin_table[[#This Row],[Loan Defaulters]]=1,"Default", "Good")</f>
        <v>Good</v>
      </c>
      <c r="AD713" s="3">
        <f t="shared" si="82"/>
        <v>1</v>
      </c>
      <c r="AE713" s="4">
        <v>6062.57</v>
      </c>
      <c r="AF713" s="4" t="str">
        <f>IF(fin_table[[#This Row],[Monthly Income]]&lt;3000, "Low Income", IF(fin_table[[#This Row],[Monthly Income]]&lt;=5000, "Middle Income", "High Income"))</f>
        <v>High Income</v>
      </c>
      <c r="AG713" t="s">
        <v>30</v>
      </c>
      <c r="AH713" t="s">
        <v>3635</v>
      </c>
      <c r="AI713" t="str">
        <f t="shared" si="83"/>
        <v>Low-Risk</v>
      </c>
    </row>
    <row r="714" spans="1:35" x14ac:dyDescent="0.35">
      <c r="A714" t="s">
        <v>2645</v>
      </c>
      <c r="B714" t="s">
        <v>2646</v>
      </c>
      <c r="C714" t="s">
        <v>2647</v>
      </c>
      <c r="D714" s="1">
        <v>44920</v>
      </c>
      <c r="E714" s="1" t="str">
        <f t="shared" si="77"/>
        <v>25</v>
      </c>
      <c r="F714" s="1" t="str">
        <f t="shared" si="78"/>
        <v>Dec</v>
      </c>
      <c r="G714" s="6" t="s">
        <v>71</v>
      </c>
      <c r="H714" s="5">
        <v>8067.06</v>
      </c>
      <c r="I714" s="5" t="str">
        <f>IF(fin_table[[#This Row],[Account Balance]]&lt;20000,"Active", "Not Active")</f>
        <v>Active</v>
      </c>
      <c r="J714" s="5">
        <v>8756.89</v>
      </c>
      <c r="K714" s="5" t="str">
        <f t="shared" si="79"/>
        <v>Low</v>
      </c>
      <c r="L714" s="6" t="s">
        <v>24</v>
      </c>
      <c r="M714">
        <v>59</v>
      </c>
      <c r="N714" s="6" t="str">
        <f t="shared" si="80"/>
        <v>Older Adults</v>
      </c>
      <c r="O714" s="6" t="s">
        <v>42</v>
      </c>
      <c r="P714" s="6" t="s">
        <v>50</v>
      </c>
      <c r="Q714" t="s">
        <v>2648</v>
      </c>
      <c r="R714" s="6" t="s">
        <v>28</v>
      </c>
      <c r="S714" s="6" t="s">
        <v>29</v>
      </c>
      <c r="T714" s="14">
        <v>1.26E-2</v>
      </c>
      <c r="U714">
        <v>1.26</v>
      </c>
      <c r="V714" t="str">
        <f>IF(fin_table[[#This Row],[Interest Rate(%)]]&gt;4,"high","low")</f>
        <v>low</v>
      </c>
      <c r="W714" s="5">
        <v>26681.654999999999</v>
      </c>
      <c r="X714" s="5">
        <f>fin_table[[#This Row],[Interest Rate]]*fin_table[[#This Row],[Loan Amount]]</f>
        <v>336.18885299999999</v>
      </c>
      <c r="Y714">
        <v>13</v>
      </c>
      <c r="Z714" s="3">
        <v>329</v>
      </c>
      <c r="AA714" s="3" t="str">
        <f t="shared" si="81"/>
        <v>Poor</v>
      </c>
      <c r="AB714" s="3" cm="1">
        <f t="array" ref="AB714">_xlfn.IFS(fin_table[[#This Row],[Transaction Status]]="Failed", 1, fin_table[[#This Row],[Transaction Status]]="Completed",0,fin_table[[#This Row],[Transaction Status]]="Pending",2)</f>
        <v>1</v>
      </c>
      <c r="AC714" s="3" t="str">
        <f>IF(fin_table[[#This Row],[Loan Defaulters]]=1,"Default", "Good")</f>
        <v>Default</v>
      </c>
      <c r="AD714" s="3">
        <f t="shared" si="82"/>
        <v>1</v>
      </c>
      <c r="AE714" s="4">
        <v>4267.34</v>
      </c>
      <c r="AF714" s="4" t="str">
        <f>IF(fin_table[[#This Row],[Monthly Income]]&lt;3000, "Low Income", IF(fin_table[[#This Row],[Monthly Income]]&lt;=5000, "Middle Income", "High Income"))</f>
        <v>Middle Income</v>
      </c>
      <c r="AG714" t="s">
        <v>45</v>
      </c>
      <c r="AH714" t="s">
        <v>3635</v>
      </c>
      <c r="AI714" t="str">
        <f t="shared" si="83"/>
        <v>Low-Risk</v>
      </c>
    </row>
    <row r="715" spans="1:35" x14ac:dyDescent="0.35">
      <c r="A715" t="s">
        <v>2649</v>
      </c>
      <c r="B715" t="s">
        <v>2096</v>
      </c>
      <c r="C715" t="s">
        <v>2650</v>
      </c>
      <c r="D715" s="1">
        <v>45053</v>
      </c>
      <c r="E715" s="1" t="str">
        <f t="shared" si="77"/>
        <v>07</v>
      </c>
      <c r="F715" s="1" t="str">
        <f t="shared" si="78"/>
        <v>May</v>
      </c>
      <c r="G715" s="6" t="s">
        <v>71</v>
      </c>
      <c r="H715" s="5">
        <v>555.96</v>
      </c>
      <c r="I715" s="5" t="str">
        <f>IF(fin_table[[#This Row],[Account Balance]]&lt;20000,"Active", "Not Active")</f>
        <v>Active</v>
      </c>
      <c r="J715" s="5">
        <v>3537.51</v>
      </c>
      <c r="K715" s="5" t="str">
        <f t="shared" si="79"/>
        <v>Low</v>
      </c>
      <c r="L715" s="6" t="s">
        <v>100</v>
      </c>
      <c r="M715">
        <v>36</v>
      </c>
      <c r="N715" s="6" t="str">
        <f t="shared" si="80"/>
        <v>Middle-Aged</v>
      </c>
      <c r="O715" s="6" t="s">
        <v>25</v>
      </c>
      <c r="P715" s="6" t="s">
        <v>36</v>
      </c>
      <c r="Q715" t="s">
        <v>1326</v>
      </c>
      <c r="R715" s="6" t="s">
        <v>28</v>
      </c>
      <c r="S715" s="6" t="s">
        <v>62</v>
      </c>
      <c r="T715" s="14">
        <v>1.72E-2</v>
      </c>
      <c r="U715">
        <v>1.72</v>
      </c>
      <c r="V715" t="str">
        <f>IF(fin_table[[#This Row],[Interest Rate(%)]]&gt;4,"high","low")</f>
        <v>low</v>
      </c>
      <c r="W715" s="5">
        <v>26681.654999999999</v>
      </c>
      <c r="X715" s="5">
        <f>fin_table[[#This Row],[Interest Rate]]*fin_table[[#This Row],[Loan Amount]]</f>
        <v>458.924466</v>
      </c>
      <c r="Y715">
        <v>4</v>
      </c>
      <c r="Z715" s="3">
        <v>396</v>
      </c>
      <c r="AA715" s="3" t="str">
        <f t="shared" si="81"/>
        <v>Poor</v>
      </c>
      <c r="AB715" s="3" cm="1">
        <f t="array" ref="AB715">_xlfn.IFS(fin_table[[#This Row],[Transaction Status]]="Failed", 1, fin_table[[#This Row],[Transaction Status]]="Completed",0,fin_table[[#This Row],[Transaction Status]]="Pending",2)</f>
        <v>2</v>
      </c>
      <c r="AC715" s="3" t="str">
        <f>IF(fin_table[[#This Row],[Loan Defaulters]]=1,"Default", "Good")</f>
        <v>Good</v>
      </c>
      <c r="AD715" s="3">
        <f t="shared" si="82"/>
        <v>1</v>
      </c>
      <c r="AE715" s="4">
        <v>9657.51</v>
      </c>
      <c r="AF715" s="4" t="str">
        <f>IF(fin_table[[#This Row],[Monthly Income]]&lt;3000, "Low Income", IF(fin_table[[#This Row],[Monthly Income]]&lt;=5000, "Middle Income", "High Income"))</f>
        <v>High Income</v>
      </c>
      <c r="AG715" t="s">
        <v>45</v>
      </c>
      <c r="AH715" t="s">
        <v>3635</v>
      </c>
      <c r="AI715" t="str">
        <f t="shared" si="83"/>
        <v>Low-Risk</v>
      </c>
    </row>
    <row r="716" spans="1:35" x14ac:dyDescent="0.35">
      <c r="A716" t="s">
        <v>2651</v>
      </c>
      <c r="B716" t="s">
        <v>2652</v>
      </c>
      <c r="C716" t="s">
        <v>2653</v>
      </c>
      <c r="D716" s="1">
        <v>44615</v>
      </c>
      <c r="E716" s="1" t="str">
        <f t="shared" si="77"/>
        <v>23</v>
      </c>
      <c r="F716" s="1" t="str">
        <f t="shared" si="78"/>
        <v>Feb</v>
      </c>
      <c r="G716" s="6" t="s">
        <v>23</v>
      </c>
      <c r="H716" s="5">
        <v>8099.98</v>
      </c>
      <c r="I716" s="5" t="str">
        <f>IF(fin_table[[#This Row],[Account Balance]]&lt;20000,"Active", "Not Active")</f>
        <v>Not Active</v>
      </c>
      <c r="J716" s="5">
        <v>28308.22</v>
      </c>
      <c r="K716" s="5" t="str">
        <f t="shared" si="79"/>
        <v>Medium</v>
      </c>
      <c r="L716" s="6" t="s">
        <v>35</v>
      </c>
      <c r="M716">
        <v>29</v>
      </c>
      <c r="N716" s="6" t="str">
        <f t="shared" si="80"/>
        <v>Adults</v>
      </c>
      <c r="O716" s="6" t="s">
        <v>42</v>
      </c>
      <c r="P716" s="6" t="s">
        <v>26</v>
      </c>
      <c r="Q716" t="s">
        <v>2654</v>
      </c>
      <c r="R716" s="6" t="s">
        <v>38</v>
      </c>
      <c r="S716" s="6" t="s">
        <v>29</v>
      </c>
      <c r="T716" s="14">
        <v>4.0599999999999997E-2</v>
      </c>
      <c r="U716">
        <v>4.0599999999999996</v>
      </c>
      <c r="V716" t="str">
        <f>IF(fin_table[[#This Row],[Interest Rate(%)]]&gt;4,"high","low")</f>
        <v>high</v>
      </c>
      <c r="W716" s="5">
        <v>26681.654999999999</v>
      </c>
      <c r="X716" s="5">
        <f>fin_table[[#This Row],[Interest Rate]]*fin_table[[#This Row],[Loan Amount]]</f>
        <v>1083.2751929999999</v>
      </c>
      <c r="Y716">
        <v>7</v>
      </c>
      <c r="Z716" s="3">
        <v>550</v>
      </c>
      <c r="AA716" s="3" t="str">
        <f t="shared" si="81"/>
        <v>Poor</v>
      </c>
      <c r="AB716" s="3" cm="1">
        <f t="array" ref="AB716">_xlfn.IFS(fin_table[[#This Row],[Transaction Status]]="Failed", 1, fin_table[[#This Row],[Transaction Status]]="Completed",0,fin_table[[#This Row],[Transaction Status]]="Pending",2)</f>
        <v>1</v>
      </c>
      <c r="AC716" s="3" t="str">
        <f>IF(fin_table[[#This Row],[Loan Defaulters]]=1,"Default", "Good")</f>
        <v>Default</v>
      </c>
      <c r="AD716" s="3">
        <f t="shared" si="82"/>
        <v>1</v>
      </c>
      <c r="AE716" s="4">
        <v>5305.28</v>
      </c>
      <c r="AF716" s="4" t="str">
        <f>IF(fin_table[[#This Row],[Monthly Income]]&lt;3000, "Low Income", IF(fin_table[[#This Row],[Monthly Income]]&lt;=5000, "Middle Income", "High Income"))</f>
        <v>High Income</v>
      </c>
      <c r="AG716" t="s">
        <v>63</v>
      </c>
      <c r="AH716" t="s">
        <v>3635</v>
      </c>
      <c r="AI716" t="str">
        <f t="shared" si="83"/>
        <v>Low-Risk</v>
      </c>
    </row>
    <row r="717" spans="1:35" x14ac:dyDescent="0.35">
      <c r="A717" t="s">
        <v>2655</v>
      </c>
      <c r="B717" t="s">
        <v>2656</v>
      </c>
      <c r="C717" t="s">
        <v>2657</v>
      </c>
      <c r="D717" s="1">
        <v>44826</v>
      </c>
      <c r="E717" s="1" t="str">
        <f t="shared" si="77"/>
        <v>22</v>
      </c>
      <c r="F717" s="1" t="str">
        <f t="shared" si="78"/>
        <v>Sep</v>
      </c>
      <c r="G717" s="6" t="s">
        <v>71</v>
      </c>
      <c r="H717" s="5">
        <v>1861.09</v>
      </c>
      <c r="I717" s="5" t="str">
        <f>IF(fin_table[[#This Row],[Account Balance]]&lt;20000,"Active", "Not Active")</f>
        <v>Active</v>
      </c>
      <c r="J717" s="5">
        <v>8645.75</v>
      </c>
      <c r="K717" s="5" t="str">
        <f t="shared" si="79"/>
        <v>Low</v>
      </c>
      <c r="L717" s="6" t="s">
        <v>49</v>
      </c>
      <c r="M717">
        <v>35</v>
      </c>
      <c r="N717" s="6" t="str">
        <f t="shared" si="80"/>
        <v>Adults</v>
      </c>
      <c r="O717" s="6" t="s">
        <v>42</v>
      </c>
      <c r="P717" s="6" t="s">
        <v>36</v>
      </c>
      <c r="Q717" t="s">
        <v>2658</v>
      </c>
      <c r="R717" s="6" t="s">
        <v>28</v>
      </c>
      <c r="S717" s="6" t="s">
        <v>44</v>
      </c>
      <c r="T717" s="14">
        <v>2.9700000000000001E-2</v>
      </c>
      <c r="U717">
        <v>2.97</v>
      </c>
      <c r="V717" t="str">
        <f>IF(fin_table[[#This Row],[Interest Rate(%)]]&gt;4,"high","low")</f>
        <v>low</v>
      </c>
      <c r="W717" s="5">
        <v>26681.654999999999</v>
      </c>
      <c r="X717" s="5">
        <f>fin_table[[#This Row],[Interest Rate]]*fin_table[[#This Row],[Loan Amount]]</f>
        <v>792.44515349999995</v>
      </c>
      <c r="Y717">
        <v>5</v>
      </c>
      <c r="Z717" s="3">
        <v>818</v>
      </c>
      <c r="AA717" s="3" t="str">
        <f t="shared" si="81"/>
        <v>Excellent</v>
      </c>
      <c r="AB717" s="3" cm="1">
        <f t="array" ref="AB717">_xlfn.IFS(fin_table[[#This Row],[Transaction Status]]="Failed", 1, fin_table[[#This Row],[Transaction Status]]="Completed",0,fin_table[[#This Row],[Transaction Status]]="Pending",2)</f>
        <v>0</v>
      </c>
      <c r="AC717" s="3" t="str">
        <f>IF(fin_table[[#This Row],[Loan Defaulters]]=1,"Default", "Good")</f>
        <v>Good</v>
      </c>
      <c r="AD717" s="3">
        <f t="shared" si="82"/>
        <v>5</v>
      </c>
      <c r="AE717" s="4">
        <v>5366.98</v>
      </c>
      <c r="AF717" s="4" t="str">
        <f>IF(fin_table[[#This Row],[Monthly Income]]&lt;3000, "Low Income", IF(fin_table[[#This Row],[Monthly Income]]&lt;=5000, "Middle Income", "High Income"))</f>
        <v>High Income</v>
      </c>
      <c r="AG717" t="s">
        <v>63</v>
      </c>
      <c r="AH717" t="s">
        <v>3635</v>
      </c>
      <c r="AI717" t="str">
        <f t="shared" si="83"/>
        <v>Low-Risk</v>
      </c>
    </row>
    <row r="718" spans="1:35" x14ac:dyDescent="0.35">
      <c r="A718" t="s">
        <v>2659</v>
      </c>
      <c r="B718" t="s">
        <v>2660</v>
      </c>
      <c r="C718" t="s">
        <v>2661</v>
      </c>
      <c r="D718" s="1">
        <v>44812</v>
      </c>
      <c r="E718" s="1" t="str">
        <f t="shared" si="77"/>
        <v>08</v>
      </c>
      <c r="F718" s="1" t="str">
        <f t="shared" si="78"/>
        <v>Sep</v>
      </c>
      <c r="G718" s="6" t="s">
        <v>34</v>
      </c>
      <c r="H718" s="5">
        <v>5195.37</v>
      </c>
      <c r="I718" s="5" t="str">
        <f>IF(fin_table[[#This Row],[Account Balance]]&lt;20000,"Active", "Not Active")</f>
        <v>Not Active</v>
      </c>
      <c r="J718" s="5">
        <v>41894.959999999999</v>
      </c>
      <c r="K718" s="5" t="str">
        <f t="shared" si="79"/>
        <v>Medium</v>
      </c>
      <c r="L718" s="6" t="s">
        <v>49</v>
      </c>
      <c r="M718">
        <v>34</v>
      </c>
      <c r="N718" s="6" t="str">
        <f t="shared" si="80"/>
        <v>Adults</v>
      </c>
      <c r="O718" s="6" t="s">
        <v>42</v>
      </c>
      <c r="P718" s="6" t="s">
        <v>36</v>
      </c>
      <c r="Q718" t="s">
        <v>92</v>
      </c>
      <c r="R718" s="6" t="s">
        <v>52</v>
      </c>
      <c r="S718" s="6" t="s">
        <v>29</v>
      </c>
      <c r="T718" s="14">
        <v>4.5199999999999997E-2</v>
      </c>
      <c r="U718">
        <v>4.5199999999999996</v>
      </c>
      <c r="V718" t="str">
        <f>IF(fin_table[[#This Row],[Interest Rate(%)]]&gt;4,"high","low")</f>
        <v>high</v>
      </c>
      <c r="W718" s="5">
        <v>18542.849999999999</v>
      </c>
      <c r="X718" s="5">
        <f>fin_table[[#This Row],[Interest Rate]]*fin_table[[#This Row],[Loan Amount]]</f>
        <v>838.13681999999983</v>
      </c>
      <c r="Y718">
        <v>13</v>
      </c>
      <c r="Z718" s="3">
        <v>391</v>
      </c>
      <c r="AA718" s="3" t="str">
        <f t="shared" si="81"/>
        <v>Poor</v>
      </c>
      <c r="AB718" s="3" cm="1">
        <f t="array" ref="AB718">_xlfn.IFS(fin_table[[#This Row],[Transaction Status]]="Failed", 1, fin_table[[#This Row],[Transaction Status]]="Completed",0,fin_table[[#This Row],[Transaction Status]]="Pending",2)</f>
        <v>1</v>
      </c>
      <c r="AC718" s="3" t="str">
        <f>IF(fin_table[[#This Row],[Loan Defaulters]]=1,"Default", "Good")</f>
        <v>Default</v>
      </c>
      <c r="AD718" s="3">
        <f t="shared" si="82"/>
        <v>1</v>
      </c>
      <c r="AE718" s="4">
        <v>8348.4</v>
      </c>
      <c r="AF718" s="4" t="str">
        <f>IF(fin_table[[#This Row],[Monthly Income]]&lt;3000, "Low Income", IF(fin_table[[#This Row],[Monthly Income]]&lt;=5000, "Middle Income", "High Income"))</f>
        <v>High Income</v>
      </c>
      <c r="AG718" t="s">
        <v>45</v>
      </c>
      <c r="AH718" t="s">
        <v>3636</v>
      </c>
      <c r="AI718" t="str">
        <f t="shared" si="83"/>
        <v>Low-Risk</v>
      </c>
    </row>
    <row r="719" spans="1:35" x14ac:dyDescent="0.35">
      <c r="A719" t="s">
        <v>2662</v>
      </c>
      <c r="B719" t="s">
        <v>2663</v>
      </c>
      <c r="C719" t="s">
        <v>2664</v>
      </c>
      <c r="D719" s="1">
        <v>45092</v>
      </c>
      <c r="E719" s="1" t="str">
        <f t="shared" si="77"/>
        <v>15</v>
      </c>
      <c r="F719" s="1" t="str">
        <f t="shared" si="78"/>
        <v>Jun</v>
      </c>
      <c r="G719" s="6" t="s">
        <v>34</v>
      </c>
      <c r="H719" s="5">
        <v>8101.93</v>
      </c>
      <c r="I719" s="5" t="str">
        <f>IF(fin_table[[#This Row],[Account Balance]]&lt;20000,"Active", "Not Active")</f>
        <v>Active</v>
      </c>
      <c r="J719" s="5">
        <v>18558.400000000001</v>
      </c>
      <c r="K719" s="5" t="str">
        <f t="shared" si="79"/>
        <v>Medium</v>
      </c>
      <c r="L719" s="6" t="s">
        <v>35</v>
      </c>
      <c r="M719">
        <v>47</v>
      </c>
      <c r="N719" s="6" t="str">
        <f t="shared" si="80"/>
        <v>Older Adults</v>
      </c>
      <c r="O719" s="6" t="s">
        <v>42</v>
      </c>
      <c r="P719" s="6" t="s">
        <v>50</v>
      </c>
      <c r="Q719" t="s">
        <v>641</v>
      </c>
      <c r="R719" s="6" t="s">
        <v>52</v>
      </c>
      <c r="S719" s="6" t="s">
        <v>44</v>
      </c>
      <c r="T719" s="14">
        <v>2.5899999999999999E-2</v>
      </c>
      <c r="U719">
        <v>2.59</v>
      </c>
      <c r="V719" t="str">
        <f>IF(fin_table[[#This Row],[Interest Rate(%)]]&gt;4,"high","low")</f>
        <v>low</v>
      </c>
      <c r="W719" s="5">
        <v>29272.07</v>
      </c>
      <c r="X719" s="5">
        <f>fin_table[[#This Row],[Interest Rate]]*fin_table[[#This Row],[Loan Amount]]</f>
        <v>758.146613</v>
      </c>
      <c r="Y719">
        <v>29</v>
      </c>
      <c r="Z719" s="3">
        <v>412</v>
      </c>
      <c r="AA719" s="3" t="str">
        <f t="shared" si="81"/>
        <v>Poor</v>
      </c>
      <c r="AB719" s="3" cm="1">
        <f t="array" ref="AB719">_xlfn.IFS(fin_table[[#This Row],[Transaction Status]]="Failed", 1, fin_table[[#This Row],[Transaction Status]]="Completed",0,fin_table[[#This Row],[Transaction Status]]="Pending",2)</f>
        <v>0</v>
      </c>
      <c r="AC719" s="3" t="str">
        <f>IF(fin_table[[#This Row],[Loan Defaulters]]=1,"Default", "Good")</f>
        <v>Good</v>
      </c>
      <c r="AD719" s="3">
        <f t="shared" si="82"/>
        <v>1</v>
      </c>
      <c r="AE719" s="4">
        <v>10484.959999999999</v>
      </c>
      <c r="AF719" s="4" t="str">
        <f>IF(fin_table[[#This Row],[Monthly Income]]&lt;3000, "Low Income", IF(fin_table[[#This Row],[Monthly Income]]&lt;=5000, "Middle Income", "High Income"))</f>
        <v>High Income</v>
      </c>
      <c r="AG719" t="s">
        <v>30</v>
      </c>
      <c r="AH719" t="s">
        <v>3636</v>
      </c>
      <c r="AI719" t="str">
        <f t="shared" si="83"/>
        <v>Low-Risk</v>
      </c>
    </row>
    <row r="720" spans="1:35" x14ac:dyDescent="0.35">
      <c r="A720" t="s">
        <v>2665</v>
      </c>
      <c r="B720" t="s">
        <v>2666</v>
      </c>
      <c r="C720" t="s">
        <v>2667</v>
      </c>
      <c r="D720" s="1">
        <v>44751</v>
      </c>
      <c r="E720" s="1" t="str">
        <f t="shared" si="77"/>
        <v>09</v>
      </c>
      <c r="F720" s="1" t="str">
        <f t="shared" si="78"/>
        <v>Jul</v>
      </c>
      <c r="G720" s="6" t="s">
        <v>56</v>
      </c>
      <c r="H720" s="5">
        <v>2612.83</v>
      </c>
      <c r="I720" s="5" t="str">
        <f>IF(fin_table[[#This Row],[Account Balance]]&lt;20000,"Active", "Not Active")</f>
        <v>Not Active</v>
      </c>
      <c r="J720" s="5">
        <v>45731.73</v>
      </c>
      <c r="K720" s="5" t="str">
        <f t="shared" si="79"/>
        <v>Medium</v>
      </c>
      <c r="L720" s="6" t="s">
        <v>35</v>
      </c>
      <c r="M720">
        <v>41</v>
      </c>
      <c r="N720" s="6" t="str">
        <f t="shared" si="80"/>
        <v>Middle-Aged</v>
      </c>
      <c r="O720" s="6" t="s">
        <v>42</v>
      </c>
      <c r="P720" s="6" t="s">
        <v>26</v>
      </c>
      <c r="Q720" t="s">
        <v>566</v>
      </c>
      <c r="R720" s="6" t="s">
        <v>28</v>
      </c>
      <c r="S720" s="6" t="s">
        <v>44</v>
      </c>
      <c r="T720" s="14">
        <v>2.07E-2</v>
      </c>
      <c r="U720">
        <v>2.0699999999999998</v>
      </c>
      <c r="V720" t="str">
        <f>IF(fin_table[[#This Row],[Interest Rate(%)]]&gt;4,"high","low")</f>
        <v>low</v>
      </c>
      <c r="W720" s="5">
        <v>26681.654999999999</v>
      </c>
      <c r="X720" s="5">
        <f>fin_table[[#This Row],[Interest Rate]]*fin_table[[#This Row],[Loan Amount]]</f>
        <v>552.31025849999992</v>
      </c>
      <c r="Y720">
        <v>13</v>
      </c>
      <c r="Z720" s="3">
        <v>558</v>
      </c>
      <c r="AA720" s="3" t="str">
        <f t="shared" si="81"/>
        <v>Poor</v>
      </c>
      <c r="AB720" s="3" cm="1">
        <f t="array" ref="AB720">_xlfn.IFS(fin_table[[#This Row],[Transaction Status]]="Failed", 1, fin_table[[#This Row],[Transaction Status]]="Completed",0,fin_table[[#This Row],[Transaction Status]]="Pending",2)</f>
        <v>0</v>
      </c>
      <c r="AC720" s="3" t="str">
        <f>IF(fin_table[[#This Row],[Loan Defaulters]]=1,"Default", "Good")</f>
        <v>Good</v>
      </c>
      <c r="AD720" s="3">
        <f t="shared" si="82"/>
        <v>1</v>
      </c>
      <c r="AE720" s="4">
        <v>3576.96</v>
      </c>
      <c r="AF720" s="4" t="str">
        <f>IF(fin_table[[#This Row],[Monthly Income]]&lt;3000, "Low Income", IF(fin_table[[#This Row],[Monthly Income]]&lt;=5000, "Middle Income", "High Income"))</f>
        <v>Middle Income</v>
      </c>
      <c r="AG720" t="s">
        <v>30</v>
      </c>
      <c r="AH720" t="s">
        <v>3635</v>
      </c>
      <c r="AI720" t="str">
        <f t="shared" si="83"/>
        <v>Low-Risk</v>
      </c>
    </row>
    <row r="721" spans="1:35" x14ac:dyDescent="0.35">
      <c r="A721" t="s">
        <v>2668</v>
      </c>
      <c r="B721" t="s">
        <v>2669</v>
      </c>
      <c r="C721" t="s">
        <v>2670</v>
      </c>
      <c r="D721" s="1">
        <v>45106</v>
      </c>
      <c r="E721" s="1" t="str">
        <f t="shared" si="77"/>
        <v>29</v>
      </c>
      <c r="F721" s="1" t="str">
        <f t="shared" si="78"/>
        <v>Jun</v>
      </c>
      <c r="G721" s="6" t="s">
        <v>71</v>
      </c>
      <c r="H721" s="5">
        <v>2533.4899999999998</v>
      </c>
      <c r="I721" s="5" t="str">
        <f>IF(fin_table[[#This Row],[Account Balance]]&lt;20000,"Active", "Not Active")</f>
        <v>Not Active</v>
      </c>
      <c r="J721" s="5">
        <v>28718.720000000001</v>
      </c>
      <c r="K721" s="5" t="str">
        <f t="shared" si="79"/>
        <v>Medium</v>
      </c>
      <c r="L721" s="6" t="s">
        <v>100</v>
      </c>
      <c r="M721">
        <v>28</v>
      </c>
      <c r="N721" s="6" t="str">
        <f t="shared" si="80"/>
        <v>Adults</v>
      </c>
      <c r="O721" s="6" t="s">
        <v>42</v>
      </c>
      <c r="P721" s="6" t="s">
        <v>50</v>
      </c>
      <c r="Q721" t="s">
        <v>690</v>
      </c>
      <c r="R721" s="6" t="s">
        <v>38</v>
      </c>
      <c r="S721" s="6" t="s">
        <v>62</v>
      </c>
      <c r="T721" s="14">
        <v>2.3900000000000001E-2</v>
      </c>
      <c r="U721">
        <v>2.39</v>
      </c>
      <c r="V721" t="str">
        <f>IF(fin_table[[#This Row],[Interest Rate(%)]]&gt;4,"high","low")</f>
        <v>low</v>
      </c>
      <c r="W721" s="5">
        <v>26681.654999999999</v>
      </c>
      <c r="X721" s="5">
        <f>fin_table[[#This Row],[Interest Rate]]*fin_table[[#This Row],[Loan Amount]]</f>
        <v>637.69155450000005</v>
      </c>
      <c r="Y721">
        <v>13</v>
      </c>
      <c r="Z721" s="3">
        <v>406</v>
      </c>
      <c r="AA721" s="3" t="str">
        <f t="shared" si="81"/>
        <v>Poor</v>
      </c>
      <c r="AB721" s="3" cm="1">
        <f t="array" ref="AB721">_xlfn.IFS(fin_table[[#This Row],[Transaction Status]]="Failed", 1, fin_table[[#This Row],[Transaction Status]]="Completed",0,fin_table[[#This Row],[Transaction Status]]="Pending",2)</f>
        <v>2</v>
      </c>
      <c r="AC721" s="3" t="str">
        <f>IF(fin_table[[#This Row],[Loan Defaulters]]=1,"Default", "Good")</f>
        <v>Good</v>
      </c>
      <c r="AD721" s="3">
        <f t="shared" si="82"/>
        <v>1</v>
      </c>
      <c r="AE721" s="4">
        <v>4281.6499999999996</v>
      </c>
      <c r="AF721" s="4" t="str">
        <f>IF(fin_table[[#This Row],[Monthly Income]]&lt;3000, "Low Income", IF(fin_table[[#This Row],[Monthly Income]]&lt;=5000, "Middle Income", "High Income"))</f>
        <v>Middle Income</v>
      </c>
      <c r="AG721" t="s">
        <v>63</v>
      </c>
      <c r="AH721" t="s">
        <v>3635</v>
      </c>
      <c r="AI721" t="str">
        <f t="shared" si="83"/>
        <v>Low-Risk</v>
      </c>
    </row>
    <row r="722" spans="1:35" x14ac:dyDescent="0.35">
      <c r="A722" t="s">
        <v>2671</v>
      </c>
      <c r="B722" t="s">
        <v>2672</v>
      </c>
      <c r="C722" t="s">
        <v>2673</v>
      </c>
      <c r="D722" s="1">
        <v>45156</v>
      </c>
      <c r="E722" s="1" t="str">
        <f t="shared" si="77"/>
        <v>18</v>
      </c>
      <c r="F722" s="1" t="str">
        <f t="shared" si="78"/>
        <v>Aug</v>
      </c>
      <c r="G722" s="6" t="s">
        <v>56</v>
      </c>
      <c r="H722" s="5">
        <v>4087.37</v>
      </c>
      <c r="I722" s="5" t="str">
        <f>IF(fin_table[[#This Row],[Account Balance]]&lt;20000,"Active", "Not Active")</f>
        <v>Active</v>
      </c>
      <c r="J722" s="5">
        <v>9950.9500000000007</v>
      </c>
      <c r="K722" s="5" t="str">
        <f t="shared" si="79"/>
        <v>Low</v>
      </c>
      <c r="L722" s="6" t="s">
        <v>125</v>
      </c>
      <c r="M722">
        <v>52</v>
      </c>
      <c r="N722" s="6" t="str">
        <f t="shared" si="80"/>
        <v>Older Adults</v>
      </c>
      <c r="O722" s="6" t="s">
        <v>42</v>
      </c>
      <c r="P722" s="6" t="s">
        <v>36</v>
      </c>
      <c r="Q722" t="s">
        <v>1294</v>
      </c>
      <c r="R722" s="6" t="s">
        <v>38</v>
      </c>
      <c r="S722" s="6" t="s">
        <v>62</v>
      </c>
      <c r="T722" s="14">
        <v>3.85E-2</v>
      </c>
      <c r="U722">
        <v>3.85</v>
      </c>
      <c r="V722" t="str">
        <f>IF(fin_table[[#This Row],[Interest Rate(%)]]&gt;4,"high","low")</f>
        <v>low</v>
      </c>
      <c r="W722" s="5">
        <v>21037.21</v>
      </c>
      <c r="X722" s="5">
        <f>fin_table[[#This Row],[Interest Rate]]*fin_table[[#This Row],[Loan Amount]]</f>
        <v>809.9325849999999</v>
      </c>
      <c r="Y722">
        <v>13</v>
      </c>
      <c r="Z722" s="3">
        <v>689</v>
      </c>
      <c r="AA722" s="3" t="str">
        <f t="shared" si="81"/>
        <v>Good</v>
      </c>
      <c r="AB722" s="3" cm="1">
        <f t="array" ref="AB722">_xlfn.IFS(fin_table[[#This Row],[Transaction Status]]="Failed", 1, fin_table[[#This Row],[Transaction Status]]="Completed",0,fin_table[[#This Row],[Transaction Status]]="Pending",2)</f>
        <v>2</v>
      </c>
      <c r="AC722" s="3" t="str">
        <f>IF(fin_table[[#This Row],[Loan Defaulters]]=1,"Default", "Good")</f>
        <v>Good</v>
      </c>
      <c r="AD722" s="3">
        <f t="shared" si="82"/>
        <v>3</v>
      </c>
      <c r="AE722" s="4">
        <v>5213.2700000000004</v>
      </c>
      <c r="AF722" s="4" t="str">
        <f>IF(fin_table[[#This Row],[Monthly Income]]&lt;3000, "Low Income", IF(fin_table[[#This Row],[Monthly Income]]&lt;=5000, "Middle Income", "High Income"))</f>
        <v>High Income</v>
      </c>
      <c r="AG722" t="s">
        <v>30</v>
      </c>
      <c r="AH722" t="s">
        <v>3636</v>
      </c>
      <c r="AI722" t="str">
        <f t="shared" si="83"/>
        <v>Low-Risk</v>
      </c>
    </row>
    <row r="723" spans="1:35" x14ac:dyDescent="0.35">
      <c r="A723" t="s">
        <v>2674</v>
      </c>
      <c r="B723" t="s">
        <v>2675</v>
      </c>
      <c r="C723" t="s">
        <v>2676</v>
      </c>
      <c r="D723" s="1">
        <v>45134</v>
      </c>
      <c r="E723" s="1" t="str">
        <f t="shared" si="77"/>
        <v>27</v>
      </c>
      <c r="F723" s="1" t="str">
        <f t="shared" si="78"/>
        <v>Jul</v>
      </c>
      <c r="G723" s="6" t="s">
        <v>71</v>
      </c>
      <c r="H723" s="5">
        <v>8956.9599999999991</v>
      </c>
      <c r="I723" s="5" t="str">
        <f>IF(fin_table[[#This Row],[Account Balance]]&lt;20000,"Active", "Not Active")</f>
        <v>Active</v>
      </c>
      <c r="J723" s="5">
        <v>7840.34</v>
      </c>
      <c r="K723" s="5" t="str">
        <f t="shared" si="79"/>
        <v>Low</v>
      </c>
      <c r="L723" s="6" t="s">
        <v>49</v>
      </c>
      <c r="M723">
        <v>40</v>
      </c>
      <c r="N723" s="6" t="str">
        <f t="shared" si="80"/>
        <v>Middle-Aged</v>
      </c>
      <c r="O723" s="6" t="s">
        <v>25</v>
      </c>
      <c r="P723" s="6" t="s">
        <v>50</v>
      </c>
      <c r="Q723" t="s">
        <v>2677</v>
      </c>
      <c r="R723" s="6" t="s">
        <v>28</v>
      </c>
      <c r="S723" s="6" t="s">
        <v>29</v>
      </c>
      <c r="T723" s="14">
        <v>3.2199999999999999E-2</v>
      </c>
      <c r="U723">
        <v>3.22</v>
      </c>
      <c r="V723" t="str">
        <f>IF(fin_table[[#This Row],[Interest Rate(%)]]&gt;4,"high","low")</f>
        <v>low</v>
      </c>
      <c r="W723" s="5">
        <v>16526.79</v>
      </c>
      <c r="X723" s="5">
        <f>fin_table[[#This Row],[Interest Rate]]*fin_table[[#This Row],[Loan Amount]]</f>
        <v>532.16263800000002</v>
      </c>
      <c r="Y723">
        <v>22</v>
      </c>
      <c r="Z723" s="3">
        <v>657</v>
      </c>
      <c r="AA723" s="3" t="str">
        <f t="shared" si="81"/>
        <v>Fair</v>
      </c>
      <c r="AB723" s="3" cm="1">
        <f t="array" ref="AB723">_xlfn.IFS(fin_table[[#This Row],[Transaction Status]]="Failed", 1, fin_table[[#This Row],[Transaction Status]]="Completed",0,fin_table[[#This Row],[Transaction Status]]="Pending",2)</f>
        <v>1</v>
      </c>
      <c r="AC723" s="3" t="str">
        <f>IF(fin_table[[#This Row],[Loan Defaulters]]=1,"Default", "Good")</f>
        <v>Default</v>
      </c>
      <c r="AD723" s="3">
        <f t="shared" si="82"/>
        <v>2</v>
      </c>
      <c r="AE723" s="4">
        <v>14658.73</v>
      </c>
      <c r="AF723" s="4" t="str">
        <f>IF(fin_table[[#This Row],[Monthly Income]]&lt;3000, "Low Income", IF(fin_table[[#This Row],[Monthly Income]]&lt;=5000, "Middle Income", "High Income"))</f>
        <v>High Income</v>
      </c>
      <c r="AG723" t="s">
        <v>30</v>
      </c>
      <c r="AH723" t="s">
        <v>3636</v>
      </c>
      <c r="AI723" t="str">
        <f t="shared" si="83"/>
        <v>Low-Risk</v>
      </c>
    </row>
    <row r="724" spans="1:35" x14ac:dyDescent="0.35">
      <c r="A724" t="s">
        <v>2678</v>
      </c>
      <c r="B724" t="s">
        <v>2679</v>
      </c>
      <c r="C724" t="s">
        <v>2680</v>
      </c>
      <c r="D724" s="1">
        <v>45087</v>
      </c>
      <c r="E724" s="1" t="str">
        <f t="shared" si="77"/>
        <v>10</v>
      </c>
      <c r="F724" s="1" t="str">
        <f t="shared" si="78"/>
        <v>Jun</v>
      </c>
      <c r="G724" s="6" t="s">
        <v>34</v>
      </c>
      <c r="H724" s="5">
        <v>104.38</v>
      </c>
      <c r="I724" s="5" t="str">
        <f>IF(fin_table[[#This Row],[Account Balance]]&lt;20000,"Active", "Not Active")</f>
        <v>Not Active</v>
      </c>
      <c r="J724" s="5">
        <v>29247.15</v>
      </c>
      <c r="K724" s="5" t="str">
        <f t="shared" si="79"/>
        <v>Medium</v>
      </c>
      <c r="L724" s="6" t="s">
        <v>100</v>
      </c>
      <c r="M724">
        <v>34</v>
      </c>
      <c r="N724" s="6" t="str">
        <f t="shared" si="80"/>
        <v>Adults</v>
      </c>
      <c r="O724" s="6" t="s">
        <v>42</v>
      </c>
      <c r="P724" s="6" t="s">
        <v>50</v>
      </c>
      <c r="Q724" t="s">
        <v>1161</v>
      </c>
      <c r="R724" s="6" t="s">
        <v>52</v>
      </c>
      <c r="S724" s="6" t="s">
        <v>44</v>
      </c>
      <c r="T724" s="14">
        <v>4.6199999999999998E-2</v>
      </c>
      <c r="U724">
        <v>4.62</v>
      </c>
      <c r="V724" t="str">
        <f>IF(fin_table[[#This Row],[Interest Rate(%)]]&gt;4,"high","low")</f>
        <v>high</v>
      </c>
      <c r="W724" s="5">
        <v>26681.654999999999</v>
      </c>
      <c r="X724" s="5">
        <f>fin_table[[#This Row],[Interest Rate]]*fin_table[[#This Row],[Loan Amount]]</f>
        <v>1232.6924609999999</v>
      </c>
      <c r="Y724">
        <v>16</v>
      </c>
      <c r="Z724" s="3">
        <v>498</v>
      </c>
      <c r="AA724" s="3" t="str">
        <f t="shared" si="81"/>
        <v>Poor</v>
      </c>
      <c r="AB724" s="3" cm="1">
        <f t="array" ref="AB724">_xlfn.IFS(fin_table[[#This Row],[Transaction Status]]="Failed", 1, fin_table[[#This Row],[Transaction Status]]="Completed",0,fin_table[[#This Row],[Transaction Status]]="Pending",2)</f>
        <v>0</v>
      </c>
      <c r="AC724" s="3" t="str">
        <f>IF(fin_table[[#This Row],[Loan Defaulters]]=1,"Default", "Good")</f>
        <v>Good</v>
      </c>
      <c r="AD724" s="3">
        <f t="shared" si="82"/>
        <v>1</v>
      </c>
      <c r="AE724" s="4">
        <v>7162.98</v>
      </c>
      <c r="AF724" s="4" t="str">
        <f>IF(fin_table[[#This Row],[Monthly Income]]&lt;3000, "Low Income", IF(fin_table[[#This Row],[Monthly Income]]&lt;=5000, "Middle Income", "High Income"))</f>
        <v>High Income</v>
      </c>
      <c r="AG724" t="s">
        <v>30</v>
      </c>
      <c r="AH724" t="s">
        <v>3635</v>
      </c>
      <c r="AI724" t="str">
        <f t="shared" si="83"/>
        <v>Low-Risk</v>
      </c>
    </row>
    <row r="725" spans="1:35" x14ac:dyDescent="0.35">
      <c r="A725" t="s">
        <v>2681</v>
      </c>
      <c r="B725" t="s">
        <v>2682</v>
      </c>
      <c r="C725" t="s">
        <v>2683</v>
      </c>
      <c r="D725" s="1">
        <v>45143</v>
      </c>
      <c r="E725" s="1" t="str">
        <f t="shared" si="77"/>
        <v>05</v>
      </c>
      <c r="F725" s="1" t="str">
        <f t="shared" si="78"/>
        <v>Aug</v>
      </c>
      <c r="G725" s="6" t="s">
        <v>34</v>
      </c>
      <c r="H725" s="5">
        <v>9023.69</v>
      </c>
      <c r="I725" s="5" t="str">
        <f>IF(fin_table[[#This Row],[Account Balance]]&lt;20000,"Active", "Not Active")</f>
        <v>Not Active</v>
      </c>
      <c r="J725" s="5">
        <v>38332.300000000003</v>
      </c>
      <c r="K725" s="5" t="str">
        <f t="shared" si="79"/>
        <v>Medium</v>
      </c>
      <c r="L725" s="6" t="s">
        <v>35</v>
      </c>
      <c r="M725">
        <v>18</v>
      </c>
      <c r="N725" s="6" t="str">
        <f t="shared" si="80"/>
        <v>Young Adults</v>
      </c>
      <c r="O725" s="6" t="s">
        <v>25</v>
      </c>
      <c r="P725" s="6" t="s">
        <v>50</v>
      </c>
      <c r="Q725" t="s">
        <v>1649</v>
      </c>
      <c r="R725" s="6" t="s">
        <v>28</v>
      </c>
      <c r="S725" s="6" t="s">
        <v>44</v>
      </c>
      <c r="T725" s="14">
        <v>3.4099999999999998E-2</v>
      </c>
      <c r="U725">
        <v>3.41</v>
      </c>
      <c r="V725" t="str">
        <f>IF(fin_table[[#This Row],[Interest Rate(%)]]&gt;4,"high","low")</f>
        <v>low</v>
      </c>
      <c r="W725" s="5">
        <v>26681.654999999999</v>
      </c>
      <c r="X725" s="5">
        <f>fin_table[[#This Row],[Interest Rate]]*fin_table[[#This Row],[Loan Amount]]</f>
        <v>909.84443549999992</v>
      </c>
      <c r="Y725">
        <v>7</v>
      </c>
      <c r="Z725" s="3">
        <v>726</v>
      </c>
      <c r="AA725" s="3" t="str">
        <f t="shared" si="81"/>
        <v>Good</v>
      </c>
      <c r="AB725" s="3" cm="1">
        <f t="array" ref="AB725">_xlfn.IFS(fin_table[[#This Row],[Transaction Status]]="Failed", 1, fin_table[[#This Row],[Transaction Status]]="Completed",0,fin_table[[#This Row],[Transaction Status]]="Pending",2)</f>
        <v>0</v>
      </c>
      <c r="AC725" s="3" t="str">
        <f>IF(fin_table[[#This Row],[Loan Defaulters]]=1,"Default", "Good")</f>
        <v>Good</v>
      </c>
      <c r="AD725" s="3">
        <f t="shared" si="82"/>
        <v>3</v>
      </c>
      <c r="AE725" s="4">
        <v>9786.8700000000008</v>
      </c>
      <c r="AF725" s="4" t="str">
        <f>IF(fin_table[[#This Row],[Monthly Income]]&lt;3000, "Low Income", IF(fin_table[[#This Row],[Monthly Income]]&lt;=5000, "Middle Income", "High Income"))</f>
        <v>High Income</v>
      </c>
      <c r="AG725" t="s">
        <v>45</v>
      </c>
      <c r="AH725" t="s">
        <v>3635</v>
      </c>
      <c r="AI725" t="str">
        <f t="shared" si="83"/>
        <v>Low-Risk</v>
      </c>
    </row>
    <row r="726" spans="1:35" x14ac:dyDescent="0.35">
      <c r="A726" t="s">
        <v>2684</v>
      </c>
      <c r="B726" t="s">
        <v>2685</v>
      </c>
      <c r="C726" t="s">
        <v>2686</v>
      </c>
      <c r="D726" s="1">
        <v>45145</v>
      </c>
      <c r="E726" s="1" t="str">
        <f t="shared" si="77"/>
        <v>07</v>
      </c>
      <c r="F726" s="1" t="str">
        <f t="shared" si="78"/>
        <v>Aug</v>
      </c>
      <c r="G726" s="6" t="s">
        <v>34</v>
      </c>
      <c r="H726" s="5">
        <v>1622.69</v>
      </c>
      <c r="I726" s="5" t="str">
        <f>IF(fin_table[[#This Row],[Account Balance]]&lt;20000,"Active", "Not Active")</f>
        <v>Not Active</v>
      </c>
      <c r="J726" s="5">
        <v>39293.78</v>
      </c>
      <c r="K726" s="5" t="str">
        <f t="shared" si="79"/>
        <v>Medium</v>
      </c>
      <c r="L726" s="6" t="s">
        <v>100</v>
      </c>
      <c r="M726">
        <v>32</v>
      </c>
      <c r="N726" s="6" t="str">
        <f t="shared" si="80"/>
        <v>Adults</v>
      </c>
      <c r="O726" s="6" t="s">
        <v>42</v>
      </c>
      <c r="P726" s="6" t="s">
        <v>50</v>
      </c>
      <c r="Q726" t="s">
        <v>170</v>
      </c>
      <c r="R726" s="6" t="s">
        <v>38</v>
      </c>
      <c r="S726" s="6" t="s">
        <v>62</v>
      </c>
      <c r="T726" s="14">
        <v>2.9700000000000001E-2</v>
      </c>
      <c r="U726">
        <v>2.97</v>
      </c>
      <c r="V726" t="str">
        <f>IF(fin_table[[#This Row],[Interest Rate(%)]]&gt;4,"high","low")</f>
        <v>low</v>
      </c>
      <c r="W726" s="5">
        <v>26681.654999999999</v>
      </c>
      <c r="X726" s="5">
        <f>fin_table[[#This Row],[Interest Rate]]*fin_table[[#This Row],[Loan Amount]]</f>
        <v>792.44515349999995</v>
      </c>
      <c r="Y726">
        <v>13</v>
      </c>
      <c r="Z726" s="3">
        <v>777</v>
      </c>
      <c r="AA726" s="3" t="str">
        <f t="shared" si="81"/>
        <v>Very Good</v>
      </c>
      <c r="AB726" s="3" cm="1">
        <f t="array" ref="AB726">_xlfn.IFS(fin_table[[#This Row],[Transaction Status]]="Failed", 1, fin_table[[#This Row],[Transaction Status]]="Completed",0,fin_table[[#This Row],[Transaction Status]]="Pending",2)</f>
        <v>2</v>
      </c>
      <c r="AC726" s="3" t="str">
        <f>IF(fin_table[[#This Row],[Loan Defaulters]]=1,"Default", "Good")</f>
        <v>Good</v>
      </c>
      <c r="AD726" s="3">
        <f t="shared" si="82"/>
        <v>4</v>
      </c>
      <c r="AE726" s="4">
        <v>5140.0600000000004</v>
      </c>
      <c r="AF726" s="4" t="str">
        <f>IF(fin_table[[#This Row],[Monthly Income]]&lt;3000, "Low Income", IF(fin_table[[#This Row],[Monthly Income]]&lt;=5000, "Middle Income", "High Income"))</f>
        <v>High Income</v>
      </c>
      <c r="AG726" t="s">
        <v>45</v>
      </c>
      <c r="AH726" t="s">
        <v>3635</v>
      </c>
      <c r="AI726" t="str">
        <f t="shared" si="83"/>
        <v>Low-Risk</v>
      </c>
    </row>
    <row r="727" spans="1:35" x14ac:dyDescent="0.35">
      <c r="A727" t="s">
        <v>2687</v>
      </c>
      <c r="B727" t="s">
        <v>2688</v>
      </c>
      <c r="C727" t="s">
        <v>2689</v>
      </c>
      <c r="D727" s="1">
        <v>44862</v>
      </c>
      <c r="E727" s="1" t="str">
        <f t="shared" si="77"/>
        <v>28</v>
      </c>
      <c r="F727" s="1" t="str">
        <f t="shared" si="78"/>
        <v>Oct</v>
      </c>
      <c r="G727" s="6" t="s">
        <v>71</v>
      </c>
      <c r="H727" s="5">
        <v>9901.86</v>
      </c>
      <c r="I727" s="5" t="str">
        <f>IF(fin_table[[#This Row],[Account Balance]]&lt;20000,"Active", "Not Active")</f>
        <v>Active</v>
      </c>
      <c r="J727" s="5">
        <v>14512.11</v>
      </c>
      <c r="K727" s="5" t="str">
        <f t="shared" si="79"/>
        <v>Medium</v>
      </c>
      <c r="L727" s="6" t="s">
        <v>35</v>
      </c>
      <c r="M727">
        <v>49</v>
      </c>
      <c r="N727" s="6" t="str">
        <f t="shared" si="80"/>
        <v>Older Adults</v>
      </c>
      <c r="O727" s="6" t="s">
        <v>42</v>
      </c>
      <c r="P727" s="6" t="s">
        <v>36</v>
      </c>
      <c r="Q727" t="s">
        <v>2690</v>
      </c>
      <c r="R727" s="6" t="s">
        <v>38</v>
      </c>
      <c r="S727" s="6" t="s">
        <v>62</v>
      </c>
      <c r="T727" s="14">
        <v>4.1399999999999999E-2</v>
      </c>
      <c r="U727">
        <v>4.1399999999999997</v>
      </c>
      <c r="V727" t="str">
        <f>IF(fin_table[[#This Row],[Interest Rate(%)]]&gt;4,"high","low")</f>
        <v>high</v>
      </c>
      <c r="W727" s="5">
        <v>26681.654999999999</v>
      </c>
      <c r="X727" s="5">
        <f>fin_table[[#This Row],[Interest Rate]]*fin_table[[#This Row],[Loan Amount]]</f>
        <v>1104.6205169999998</v>
      </c>
      <c r="Y727">
        <v>13</v>
      </c>
      <c r="Z727" s="3">
        <v>802</v>
      </c>
      <c r="AA727" s="3" t="str">
        <f t="shared" si="81"/>
        <v>Excellent</v>
      </c>
      <c r="AB727" s="3" cm="1">
        <f t="array" ref="AB727">_xlfn.IFS(fin_table[[#This Row],[Transaction Status]]="Failed", 1, fin_table[[#This Row],[Transaction Status]]="Completed",0,fin_table[[#This Row],[Transaction Status]]="Pending",2)</f>
        <v>2</v>
      </c>
      <c r="AC727" s="3" t="str">
        <f>IF(fin_table[[#This Row],[Loan Defaulters]]=1,"Default", "Good")</f>
        <v>Good</v>
      </c>
      <c r="AD727" s="3">
        <f t="shared" si="82"/>
        <v>5</v>
      </c>
      <c r="AE727" s="4">
        <v>8375.9699999999993</v>
      </c>
      <c r="AF727" s="4" t="str">
        <f>IF(fin_table[[#This Row],[Monthly Income]]&lt;3000, "Low Income", IF(fin_table[[#This Row],[Monthly Income]]&lt;=5000, "Middle Income", "High Income"))</f>
        <v>High Income</v>
      </c>
      <c r="AG727" t="s">
        <v>30</v>
      </c>
      <c r="AH727" t="s">
        <v>3635</v>
      </c>
      <c r="AI727" t="str">
        <f t="shared" si="83"/>
        <v>Low-Risk</v>
      </c>
    </row>
    <row r="728" spans="1:35" x14ac:dyDescent="0.35">
      <c r="A728" t="s">
        <v>2691</v>
      </c>
      <c r="B728" t="s">
        <v>2692</v>
      </c>
      <c r="C728" t="s">
        <v>2693</v>
      </c>
      <c r="D728" s="1">
        <v>44655</v>
      </c>
      <c r="E728" s="1" t="str">
        <f t="shared" si="77"/>
        <v>04</v>
      </c>
      <c r="F728" s="1" t="str">
        <f t="shared" si="78"/>
        <v>Apr</v>
      </c>
      <c r="G728" s="6" t="s">
        <v>34</v>
      </c>
      <c r="H728" s="5">
        <v>9552.99</v>
      </c>
      <c r="I728" s="5" t="str">
        <f>IF(fin_table[[#This Row],[Account Balance]]&lt;20000,"Active", "Not Active")</f>
        <v>Active</v>
      </c>
      <c r="J728" s="5">
        <v>11008.09</v>
      </c>
      <c r="K728" s="5" t="str">
        <f t="shared" si="79"/>
        <v>Medium</v>
      </c>
      <c r="L728" s="6" t="s">
        <v>24</v>
      </c>
      <c r="M728">
        <v>26</v>
      </c>
      <c r="N728" s="6" t="str">
        <f t="shared" si="80"/>
        <v>Adults</v>
      </c>
      <c r="O728" s="6" t="s">
        <v>25</v>
      </c>
      <c r="P728" s="6" t="s">
        <v>36</v>
      </c>
      <c r="Q728" t="s">
        <v>2694</v>
      </c>
      <c r="R728" s="6" t="s">
        <v>28</v>
      </c>
      <c r="S728" s="6" t="s">
        <v>29</v>
      </c>
      <c r="T728" s="14">
        <v>4.7899999999999998E-2</v>
      </c>
      <c r="U728">
        <v>4.79</v>
      </c>
      <c r="V728" t="str">
        <f>IF(fin_table[[#This Row],[Interest Rate(%)]]&gt;4,"high","low")</f>
        <v>high</v>
      </c>
      <c r="W728" s="5">
        <v>26681.654999999999</v>
      </c>
      <c r="X728" s="5">
        <f>fin_table[[#This Row],[Interest Rate]]*fin_table[[#This Row],[Loan Amount]]</f>
        <v>1278.0512744999999</v>
      </c>
      <c r="Y728">
        <v>13</v>
      </c>
      <c r="Z728" s="3">
        <v>419</v>
      </c>
      <c r="AA728" s="3" t="str">
        <f t="shared" si="81"/>
        <v>Poor</v>
      </c>
      <c r="AB728" s="3" cm="1">
        <f t="array" ref="AB728">_xlfn.IFS(fin_table[[#This Row],[Transaction Status]]="Failed", 1, fin_table[[#This Row],[Transaction Status]]="Completed",0,fin_table[[#This Row],[Transaction Status]]="Pending",2)</f>
        <v>1</v>
      </c>
      <c r="AC728" s="3" t="str">
        <f>IF(fin_table[[#This Row],[Loan Defaulters]]=1,"Default", "Good")</f>
        <v>Default</v>
      </c>
      <c r="AD728" s="3">
        <f t="shared" si="82"/>
        <v>1</v>
      </c>
      <c r="AE728" s="4">
        <v>2963.55</v>
      </c>
      <c r="AF728" s="4" t="str">
        <f>IF(fin_table[[#This Row],[Monthly Income]]&lt;3000, "Low Income", IF(fin_table[[#This Row],[Monthly Income]]&lt;=5000, "Middle Income", "High Income"))</f>
        <v>Low Income</v>
      </c>
      <c r="AG728" t="s">
        <v>63</v>
      </c>
      <c r="AH728" t="s">
        <v>3635</v>
      </c>
      <c r="AI728" t="str">
        <f t="shared" si="83"/>
        <v>Low-Risk</v>
      </c>
    </row>
    <row r="729" spans="1:35" x14ac:dyDescent="0.35">
      <c r="A729" t="s">
        <v>2695</v>
      </c>
      <c r="B729" t="s">
        <v>2696</v>
      </c>
      <c r="C729" t="s">
        <v>2697</v>
      </c>
      <c r="D729" s="1">
        <v>45061</v>
      </c>
      <c r="E729" s="1" t="str">
        <f t="shared" si="77"/>
        <v>15</v>
      </c>
      <c r="F729" s="1" t="str">
        <f t="shared" si="78"/>
        <v>May</v>
      </c>
      <c r="G729" s="6" t="s">
        <v>71</v>
      </c>
      <c r="H729" s="5">
        <v>4997.28</v>
      </c>
      <c r="I729" s="5" t="str">
        <f>IF(fin_table[[#This Row],[Account Balance]]&lt;20000,"Active", "Not Active")</f>
        <v>Active</v>
      </c>
      <c r="J729" s="5">
        <v>1821.06</v>
      </c>
      <c r="K729" s="5" t="str">
        <f t="shared" si="79"/>
        <v>Low</v>
      </c>
      <c r="L729" s="6" t="s">
        <v>35</v>
      </c>
      <c r="M729">
        <v>32</v>
      </c>
      <c r="N729" s="6" t="str">
        <f t="shared" si="80"/>
        <v>Adults</v>
      </c>
      <c r="O729" s="6" t="s">
        <v>25</v>
      </c>
      <c r="P729" s="6" t="s">
        <v>26</v>
      </c>
      <c r="Q729" t="s">
        <v>864</v>
      </c>
      <c r="R729" s="6" t="s">
        <v>52</v>
      </c>
      <c r="S729" s="6" t="s">
        <v>44</v>
      </c>
      <c r="T729" s="14">
        <v>2.4199999999999999E-2</v>
      </c>
      <c r="U729">
        <v>2.42</v>
      </c>
      <c r="V729" t="str">
        <f>IF(fin_table[[#This Row],[Interest Rate(%)]]&gt;4,"high","low")</f>
        <v>low</v>
      </c>
      <c r="W729" s="5">
        <v>26681.654999999999</v>
      </c>
      <c r="X729" s="5">
        <f>fin_table[[#This Row],[Interest Rate]]*fin_table[[#This Row],[Loan Amount]]</f>
        <v>645.6960509999999</v>
      </c>
      <c r="Y729">
        <v>13</v>
      </c>
      <c r="Z729" s="3">
        <v>608</v>
      </c>
      <c r="AA729" s="3" t="str">
        <f t="shared" si="81"/>
        <v>Fair</v>
      </c>
      <c r="AB729" s="3" cm="1">
        <f t="array" ref="AB729">_xlfn.IFS(fin_table[[#This Row],[Transaction Status]]="Failed", 1, fin_table[[#This Row],[Transaction Status]]="Completed",0,fin_table[[#This Row],[Transaction Status]]="Pending",2)</f>
        <v>0</v>
      </c>
      <c r="AC729" s="3" t="str">
        <f>IF(fin_table[[#This Row],[Loan Defaulters]]=1,"Default", "Good")</f>
        <v>Good</v>
      </c>
      <c r="AD729" s="3">
        <f t="shared" si="82"/>
        <v>2</v>
      </c>
      <c r="AE729" s="4">
        <v>2451.65</v>
      </c>
      <c r="AF729" s="4" t="str">
        <f>IF(fin_table[[#This Row],[Monthly Income]]&lt;3000, "Low Income", IF(fin_table[[#This Row],[Monthly Income]]&lt;=5000, "Middle Income", "High Income"))</f>
        <v>Low Income</v>
      </c>
      <c r="AG729" t="s">
        <v>30</v>
      </c>
      <c r="AH729" t="s">
        <v>3635</v>
      </c>
      <c r="AI729" t="str">
        <f t="shared" si="83"/>
        <v>Low-Risk</v>
      </c>
    </row>
    <row r="730" spans="1:35" x14ac:dyDescent="0.35">
      <c r="A730" t="s">
        <v>2698</v>
      </c>
      <c r="B730" t="s">
        <v>2699</v>
      </c>
      <c r="C730" t="s">
        <v>2700</v>
      </c>
      <c r="D730" s="1">
        <v>44793</v>
      </c>
      <c r="E730" s="1" t="str">
        <f t="shared" si="77"/>
        <v>20</v>
      </c>
      <c r="F730" s="1" t="str">
        <f t="shared" si="78"/>
        <v>Aug</v>
      </c>
      <c r="G730" s="6" t="s">
        <v>56</v>
      </c>
      <c r="H730" s="5">
        <v>5175.93</v>
      </c>
      <c r="I730" s="5" t="str">
        <f>IF(fin_table[[#This Row],[Account Balance]]&lt;20000,"Active", "Not Active")</f>
        <v>Not Active</v>
      </c>
      <c r="J730" s="5">
        <v>34280.76</v>
      </c>
      <c r="K730" s="5" t="str">
        <f t="shared" si="79"/>
        <v>Medium</v>
      </c>
      <c r="L730" s="6" t="s">
        <v>35</v>
      </c>
      <c r="M730">
        <v>45</v>
      </c>
      <c r="N730" s="6" t="str">
        <f t="shared" si="80"/>
        <v>Middle-Aged</v>
      </c>
      <c r="O730" s="6" t="s">
        <v>42</v>
      </c>
      <c r="P730" s="6" t="s">
        <v>50</v>
      </c>
      <c r="Q730" t="s">
        <v>113</v>
      </c>
      <c r="R730" s="6" t="s">
        <v>28</v>
      </c>
      <c r="S730" s="6" t="s">
        <v>62</v>
      </c>
      <c r="T730" s="47">
        <v>0.02</v>
      </c>
      <c r="U730">
        <v>0.02</v>
      </c>
      <c r="V730" t="str">
        <f>IF(fin_table[[#This Row],[Interest Rate(%)]]&gt;4,"high","low")</f>
        <v>low</v>
      </c>
      <c r="W730" s="5">
        <v>34991.160000000003</v>
      </c>
      <c r="X730" s="5">
        <f>fin_table[[#This Row],[Interest Rate]]*fin_table[[#This Row],[Loan Amount]]</f>
        <v>699.82320000000004</v>
      </c>
      <c r="Y730">
        <v>13</v>
      </c>
      <c r="Z730" s="3">
        <v>837</v>
      </c>
      <c r="AA730" s="3" t="str">
        <f t="shared" si="81"/>
        <v>Excellent</v>
      </c>
      <c r="AB730" s="3" cm="1">
        <f t="array" ref="AB730">_xlfn.IFS(fin_table[[#This Row],[Transaction Status]]="Failed", 1, fin_table[[#This Row],[Transaction Status]]="Completed",0,fin_table[[#This Row],[Transaction Status]]="Pending",2)</f>
        <v>2</v>
      </c>
      <c r="AC730" s="3" t="str">
        <f>IF(fin_table[[#This Row],[Loan Defaulters]]=1,"Default", "Good")</f>
        <v>Good</v>
      </c>
      <c r="AD730" s="3">
        <f t="shared" si="82"/>
        <v>5</v>
      </c>
      <c r="AE730" s="4">
        <v>8093.54</v>
      </c>
      <c r="AF730" s="4" t="str">
        <f>IF(fin_table[[#This Row],[Monthly Income]]&lt;3000, "Low Income", IF(fin_table[[#This Row],[Monthly Income]]&lt;=5000, "Middle Income", "High Income"))</f>
        <v>High Income</v>
      </c>
      <c r="AG730" t="s">
        <v>63</v>
      </c>
      <c r="AH730" t="s">
        <v>3636</v>
      </c>
      <c r="AI730" t="str">
        <f t="shared" si="83"/>
        <v>Low-Risk</v>
      </c>
    </row>
    <row r="731" spans="1:35" x14ac:dyDescent="0.35">
      <c r="A731" t="s">
        <v>2701</v>
      </c>
      <c r="B731" t="s">
        <v>2702</v>
      </c>
      <c r="C731" t="s">
        <v>2703</v>
      </c>
      <c r="D731" s="1">
        <v>45011</v>
      </c>
      <c r="E731" s="1" t="str">
        <f t="shared" si="77"/>
        <v>26</v>
      </c>
      <c r="F731" s="1" t="str">
        <f t="shared" si="78"/>
        <v>Mar</v>
      </c>
      <c r="G731" s="6" t="s">
        <v>71</v>
      </c>
      <c r="H731" s="5">
        <v>4867.34</v>
      </c>
      <c r="I731" s="5" t="str">
        <f>IF(fin_table[[#This Row],[Account Balance]]&lt;20000,"Active", "Not Active")</f>
        <v>Active</v>
      </c>
      <c r="J731" s="5">
        <v>4751.84</v>
      </c>
      <c r="K731" s="5" t="str">
        <f t="shared" si="79"/>
        <v>Low</v>
      </c>
      <c r="L731" s="6" t="s">
        <v>35</v>
      </c>
      <c r="M731">
        <v>41</v>
      </c>
      <c r="N731" s="6" t="str">
        <f t="shared" si="80"/>
        <v>Middle-Aged</v>
      </c>
      <c r="O731" s="6" t="s">
        <v>25</v>
      </c>
      <c r="P731" s="6" t="s">
        <v>50</v>
      </c>
      <c r="Q731" t="s">
        <v>1796</v>
      </c>
      <c r="R731" s="6" t="s">
        <v>52</v>
      </c>
      <c r="S731" s="6" t="s">
        <v>29</v>
      </c>
      <c r="T731" s="14">
        <v>3.4599999999999999E-2</v>
      </c>
      <c r="U731">
        <v>3.46</v>
      </c>
      <c r="V731" t="str">
        <f>IF(fin_table[[#This Row],[Interest Rate(%)]]&gt;4,"high","low")</f>
        <v>low</v>
      </c>
      <c r="W731" s="5">
        <v>26681.654999999999</v>
      </c>
      <c r="X731" s="5">
        <f>fin_table[[#This Row],[Interest Rate]]*fin_table[[#This Row],[Loan Amount]]</f>
        <v>923.18526299999996</v>
      </c>
      <c r="Y731">
        <v>13</v>
      </c>
      <c r="Z731" s="3">
        <v>774</v>
      </c>
      <c r="AA731" s="3" t="str">
        <f t="shared" si="81"/>
        <v>Very Good</v>
      </c>
      <c r="AB731" s="3" cm="1">
        <f t="array" ref="AB731">_xlfn.IFS(fin_table[[#This Row],[Transaction Status]]="Failed", 1, fin_table[[#This Row],[Transaction Status]]="Completed",0,fin_table[[#This Row],[Transaction Status]]="Pending",2)</f>
        <v>1</v>
      </c>
      <c r="AC731" s="3" t="str">
        <f>IF(fin_table[[#This Row],[Loan Defaulters]]=1,"Default", "Good")</f>
        <v>Default</v>
      </c>
      <c r="AD731" s="3">
        <f t="shared" si="82"/>
        <v>4</v>
      </c>
      <c r="AE731" s="4">
        <v>7182.57</v>
      </c>
      <c r="AF731" s="4" t="str">
        <f>IF(fin_table[[#This Row],[Monthly Income]]&lt;3000, "Low Income", IF(fin_table[[#This Row],[Monthly Income]]&lt;=5000, "Middle Income", "High Income"))</f>
        <v>High Income</v>
      </c>
      <c r="AG731" t="s">
        <v>45</v>
      </c>
      <c r="AH731" t="s">
        <v>3635</v>
      </c>
      <c r="AI731" t="str">
        <f t="shared" si="83"/>
        <v>Low-Risk</v>
      </c>
    </row>
    <row r="732" spans="1:35" x14ac:dyDescent="0.35">
      <c r="A732" t="s">
        <v>2704</v>
      </c>
      <c r="B732" t="s">
        <v>2705</v>
      </c>
      <c r="C732" t="s">
        <v>2706</v>
      </c>
      <c r="D732" s="1">
        <v>44892</v>
      </c>
      <c r="E732" s="1" t="str">
        <f t="shared" si="77"/>
        <v>27</v>
      </c>
      <c r="F732" s="1" t="str">
        <f t="shared" si="78"/>
        <v>Nov</v>
      </c>
      <c r="G732" s="6" t="s">
        <v>56</v>
      </c>
      <c r="H732" s="5">
        <v>6390.89</v>
      </c>
      <c r="I732" s="5" t="str">
        <f>IF(fin_table[[#This Row],[Account Balance]]&lt;20000,"Active", "Not Active")</f>
        <v>Not Active</v>
      </c>
      <c r="J732" s="5">
        <v>21617.3</v>
      </c>
      <c r="K732" s="5" t="str">
        <f t="shared" si="79"/>
        <v>Medium</v>
      </c>
      <c r="L732" s="6" t="s">
        <v>125</v>
      </c>
      <c r="M732">
        <v>52</v>
      </c>
      <c r="N732" s="6" t="str">
        <f t="shared" si="80"/>
        <v>Older Adults</v>
      </c>
      <c r="O732" s="6" t="s">
        <v>42</v>
      </c>
      <c r="P732" s="6" t="s">
        <v>26</v>
      </c>
      <c r="Q732" t="s">
        <v>2707</v>
      </c>
      <c r="R732" s="6" t="s">
        <v>52</v>
      </c>
      <c r="S732" s="6" t="s">
        <v>44</v>
      </c>
      <c r="T732" s="47">
        <v>0.03</v>
      </c>
      <c r="U732">
        <v>0.03</v>
      </c>
      <c r="V732" t="str">
        <f>IF(fin_table[[#This Row],[Interest Rate(%)]]&gt;4,"high","low")</f>
        <v>low</v>
      </c>
      <c r="W732" s="5">
        <v>26681.654999999999</v>
      </c>
      <c r="X732" s="5">
        <f>fin_table[[#This Row],[Interest Rate]]*fin_table[[#This Row],[Loan Amount]]</f>
        <v>800.44964999999991</v>
      </c>
      <c r="Y732">
        <v>13</v>
      </c>
      <c r="Z732" s="3">
        <v>643</v>
      </c>
      <c r="AA732" s="3" t="str">
        <f t="shared" si="81"/>
        <v>Fair</v>
      </c>
      <c r="AB732" s="3" cm="1">
        <f t="array" ref="AB732">_xlfn.IFS(fin_table[[#This Row],[Transaction Status]]="Failed", 1, fin_table[[#This Row],[Transaction Status]]="Completed",0,fin_table[[#This Row],[Transaction Status]]="Pending",2)</f>
        <v>0</v>
      </c>
      <c r="AC732" s="3" t="str">
        <f>IF(fin_table[[#This Row],[Loan Defaulters]]=1,"Default", "Good")</f>
        <v>Good</v>
      </c>
      <c r="AD732" s="3">
        <f t="shared" si="82"/>
        <v>2</v>
      </c>
      <c r="AE732" s="4">
        <v>3779.44</v>
      </c>
      <c r="AF732" s="4" t="str">
        <f>IF(fin_table[[#This Row],[Monthly Income]]&lt;3000, "Low Income", IF(fin_table[[#This Row],[Monthly Income]]&lt;=5000, "Middle Income", "High Income"))</f>
        <v>Middle Income</v>
      </c>
      <c r="AG732" t="s">
        <v>30</v>
      </c>
      <c r="AH732" t="s">
        <v>3635</v>
      </c>
      <c r="AI732" t="str">
        <f t="shared" si="83"/>
        <v>Low-Risk</v>
      </c>
    </row>
    <row r="733" spans="1:35" x14ac:dyDescent="0.35">
      <c r="A733" t="s">
        <v>2708</v>
      </c>
      <c r="B733" t="s">
        <v>2709</v>
      </c>
      <c r="C733" t="s">
        <v>2710</v>
      </c>
      <c r="D733" s="1">
        <v>44766</v>
      </c>
      <c r="E733" s="1" t="str">
        <f t="shared" si="77"/>
        <v>24</v>
      </c>
      <c r="F733" s="1" t="str">
        <f t="shared" si="78"/>
        <v>Jul</v>
      </c>
      <c r="G733" s="6" t="s">
        <v>71</v>
      </c>
      <c r="H733" s="5">
        <v>998.14</v>
      </c>
      <c r="I733" s="5" t="str">
        <f>IF(fin_table[[#This Row],[Account Balance]]&lt;20000,"Active", "Not Active")</f>
        <v>Not Active</v>
      </c>
      <c r="J733" s="5">
        <v>30482.43</v>
      </c>
      <c r="K733" s="5" t="str">
        <f t="shared" si="79"/>
        <v>Medium</v>
      </c>
      <c r="L733" s="6" t="s">
        <v>35</v>
      </c>
      <c r="M733">
        <v>39</v>
      </c>
      <c r="N733" s="6" t="str">
        <f t="shared" si="80"/>
        <v>Middle-Aged</v>
      </c>
      <c r="O733" s="6" t="s">
        <v>42</v>
      </c>
      <c r="P733" s="6" t="s">
        <v>50</v>
      </c>
      <c r="Q733" t="s">
        <v>2711</v>
      </c>
      <c r="R733" s="6" t="s">
        <v>28</v>
      </c>
      <c r="S733" s="6" t="s">
        <v>44</v>
      </c>
      <c r="T733" s="14">
        <v>4.9599999999999998E-2</v>
      </c>
      <c r="U733">
        <v>4.96</v>
      </c>
      <c r="V733" t="str">
        <f>IF(fin_table[[#This Row],[Interest Rate(%)]]&gt;4,"high","low")</f>
        <v>high</v>
      </c>
      <c r="W733" s="5">
        <v>9804.0300000000007</v>
      </c>
      <c r="X733" s="5">
        <f>fin_table[[#This Row],[Interest Rate]]*fin_table[[#This Row],[Loan Amount]]</f>
        <v>486.27988800000003</v>
      </c>
      <c r="Y733">
        <v>13</v>
      </c>
      <c r="Z733" s="3">
        <v>435</v>
      </c>
      <c r="AA733" s="3" t="str">
        <f t="shared" si="81"/>
        <v>Poor</v>
      </c>
      <c r="AB733" s="3" cm="1">
        <f t="array" ref="AB733">_xlfn.IFS(fin_table[[#This Row],[Transaction Status]]="Failed", 1, fin_table[[#This Row],[Transaction Status]]="Completed",0,fin_table[[#This Row],[Transaction Status]]="Pending",2)</f>
        <v>0</v>
      </c>
      <c r="AC733" s="3" t="str">
        <f>IF(fin_table[[#This Row],[Loan Defaulters]]=1,"Default", "Good")</f>
        <v>Good</v>
      </c>
      <c r="AD733" s="3">
        <f t="shared" si="82"/>
        <v>1</v>
      </c>
      <c r="AE733" s="4">
        <v>10938.82</v>
      </c>
      <c r="AF733" s="4" t="str">
        <f>IF(fin_table[[#This Row],[Monthly Income]]&lt;3000, "Low Income", IF(fin_table[[#This Row],[Monthly Income]]&lt;=5000, "Middle Income", "High Income"))</f>
        <v>High Income</v>
      </c>
      <c r="AG733" t="s">
        <v>30</v>
      </c>
      <c r="AH733" t="s">
        <v>3636</v>
      </c>
      <c r="AI733" t="str">
        <f t="shared" si="83"/>
        <v>Low-Risk</v>
      </c>
    </row>
    <row r="734" spans="1:35" x14ac:dyDescent="0.35">
      <c r="A734" t="s">
        <v>2712</v>
      </c>
      <c r="B734" t="s">
        <v>2713</v>
      </c>
      <c r="C734" t="s">
        <v>2714</v>
      </c>
      <c r="D734" s="1">
        <v>44701</v>
      </c>
      <c r="E734" s="1" t="str">
        <f t="shared" si="77"/>
        <v>20</v>
      </c>
      <c r="F734" s="1" t="str">
        <f t="shared" si="78"/>
        <v>May</v>
      </c>
      <c r="G734" s="6" t="s">
        <v>56</v>
      </c>
      <c r="H734" s="5">
        <v>422.92</v>
      </c>
      <c r="I734" s="5" t="str">
        <f>IF(fin_table[[#This Row],[Account Balance]]&lt;20000,"Active", "Not Active")</f>
        <v>Not Active</v>
      </c>
      <c r="J734" s="5">
        <v>46918.34</v>
      </c>
      <c r="K734" s="5" t="str">
        <f t="shared" si="79"/>
        <v>Medium</v>
      </c>
      <c r="L734" s="6" t="s">
        <v>49</v>
      </c>
      <c r="M734">
        <v>44</v>
      </c>
      <c r="N734" s="6" t="str">
        <f t="shared" si="80"/>
        <v>Middle-Aged</v>
      </c>
      <c r="O734" s="6" t="s">
        <v>25</v>
      </c>
      <c r="P734" s="6" t="s">
        <v>26</v>
      </c>
      <c r="Q734" t="s">
        <v>550</v>
      </c>
      <c r="R734" s="6" t="s">
        <v>28</v>
      </c>
      <c r="S734" s="6" t="s">
        <v>62</v>
      </c>
      <c r="T734" s="14">
        <v>2.8500000000000001E-2</v>
      </c>
      <c r="U734">
        <v>2.85</v>
      </c>
      <c r="V734" t="str">
        <f>IF(fin_table[[#This Row],[Interest Rate(%)]]&gt;4,"high","low")</f>
        <v>low</v>
      </c>
      <c r="W734" s="5">
        <v>41747.919999999998</v>
      </c>
      <c r="X734" s="5">
        <f>fin_table[[#This Row],[Interest Rate]]*fin_table[[#This Row],[Loan Amount]]</f>
        <v>1189.8157200000001</v>
      </c>
      <c r="Y734">
        <v>13</v>
      </c>
      <c r="Z734" s="3">
        <v>576</v>
      </c>
      <c r="AA734" s="3" t="str">
        <f t="shared" si="81"/>
        <v>Poor</v>
      </c>
      <c r="AB734" s="3" cm="1">
        <f t="array" ref="AB734">_xlfn.IFS(fin_table[[#This Row],[Transaction Status]]="Failed", 1, fin_table[[#This Row],[Transaction Status]]="Completed",0,fin_table[[#This Row],[Transaction Status]]="Pending",2)</f>
        <v>2</v>
      </c>
      <c r="AC734" s="3" t="str">
        <f>IF(fin_table[[#This Row],[Loan Defaulters]]=1,"Default", "Good")</f>
        <v>Good</v>
      </c>
      <c r="AD734" s="3">
        <f t="shared" si="82"/>
        <v>1</v>
      </c>
      <c r="AE734" s="4">
        <v>14907.75</v>
      </c>
      <c r="AF734" s="4" t="str">
        <f>IF(fin_table[[#This Row],[Monthly Income]]&lt;3000, "Low Income", IF(fin_table[[#This Row],[Monthly Income]]&lt;=5000, "Middle Income", "High Income"))</f>
        <v>High Income</v>
      </c>
      <c r="AG734" t="s">
        <v>63</v>
      </c>
      <c r="AH734" t="s">
        <v>3636</v>
      </c>
      <c r="AI734" t="str">
        <f t="shared" si="83"/>
        <v>High-Risk</v>
      </c>
    </row>
    <row r="735" spans="1:35" x14ac:dyDescent="0.35">
      <c r="A735" t="s">
        <v>2715</v>
      </c>
      <c r="B735" t="s">
        <v>2716</v>
      </c>
      <c r="C735" t="s">
        <v>2717</v>
      </c>
      <c r="D735" s="1">
        <v>45084</v>
      </c>
      <c r="E735" s="1" t="str">
        <f t="shared" si="77"/>
        <v>07</v>
      </c>
      <c r="F735" s="1" t="str">
        <f t="shared" si="78"/>
        <v>Jun</v>
      </c>
      <c r="G735" s="6" t="s">
        <v>34</v>
      </c>
      <c r="H735" s="5">
        <v>671.26</v>
      </c>
      <c r="I735" s="5" t="str">
        <f>IF(fin_table[[#This Row],[Account Balance]]&lt;20000,"Active", "Not Active")</f>
        <v>Active</v>
      </c>
      <c r="J735" s="5">
        <v>16278.3</v>
      </c>
      <c r="K735" s="5" t="str">
        <f t="shared" si="79"/>
        <v>Medium</v>
      </c>
      <c r="L735" s="6" t="s">
        <v>49</v>
      </c>
      <c r="M735">
        <v>36</v>
      </c>
      <c r="N735" s="6" t="str">
        <f t="shared" si="80"/>
        <v>Middle-Aged</v>
      </c>
      <c r="O735" s="6" t="s">
        <v>25</v>
      </c>
      <c r="P735" s="6" t="s">
        <v>36</v>
      </c>
      <c r="Q735" t="s">
        <v>2718</v>
      </c>
      <c r="R735" s="6" t="s">
        <v>52</v>
      </c>
      <c r="S735" s="6" t="s">
        <v>29</v>
      </c>
      <c r="T735" s="14">
        <v>1.2999999999999999E-2</v>
      </c>
      <c r="U735">
        <v>1.2999999999999999E-2</v>
      </c>
      <c r="V735" t="str">
        <f>IF(fin_table[[#This Row],[Interest Rate(%)]]&gt;4,"high","low")</f>
        <v>low</v>
      </c>
      <c r="W735" s="5">
        <v>34482.75</v>
      </c>
      <c r="X735" s="5">
        <f>fin_table[[#This Row],[Interest Rate]]*fin_table[[#This Row],[Loan Amount]]</f>
        <v>448.27574999999996</v>
      </c>
      <c r="Y735">
        <v>13</v>
      </c>
      <c r="Z735" s="3">
        <v>832</v>
      </c>
      <c r="AA735" s="3" t="str">
        <f t="shared" si="81"/>
        <v>Excellent</v>
      </c>
      <c r="AB735" s="3" cm="1">
        <f t="array" ref="AB735">_xlfn.IFS(fin_table[[#This Row],[Transaction Status]]="Failed", 1, fin_table[[#This Row],[Transaction Status]]="Completed",0,fin_table[[#This Row],[Transaction Status]]="Pending",2)</f>
        <v>1</v>
      </c>
      <c r="AC735" s="3" t="str">
        <f>IF(fin_table[[#This Row],[Loan Defaulters]]=1,"Default", "Good")</f>
        <v>Default</v>
      </c>
      <c r="AD735" s="3">
        <f t="shared" si="82"/>
        <v>5</v>
      </c>
      <c r="AE735" s="4">
        <v>7143.41</v>
      </c>
      <c r="AF735" s="4" t="str">
        <f>IF(fin_table[[#This Row],[Monthly Income]]&lt;3000, "Low Income", IF(fin_table[[#This Row],[Monthly Income]]&lt;=5000, "Middle Income", "High Income"))</f>
        <v>High Income</v>
      </c>
      <c r="AG735" t="s">
        <v>63</v>
      </c>
      <c r="AH735" t="s">
        <v>3636</v>
      </c>
      <c r="AI735" t="str">
        <f t="shared" si="83"/>
        <v>Low-Risk</v>
      </c>
    </row>
    <row r="736" spans="1:35" x14ac:dyDescent="0.35">
      <c r="A736" t="s">
        <v>2719</v>
      </c>
      <c r="B736" t="s">
        <v>2720</v>
      </c>
      <c r="C736" t="s">
        <v>2721</v>
      </c>
      <c r="D736" s="1">
        <v>44983</v>
      </c>
      <c r="E736" s="1" t="str">
        <f t="shared" si="77"/>
        <v>26</v>
      </c>
      <c r="F736" s="1" t="str">
        <f t="shared" si="78"/>
        <v>Feb</v>
      </c>
      <c r="G736" s="6" t="s">
        <v>56</v>
      </c>
      <c r="H736" s="5">
        <v>4499.22</v>
      </c>
      <c r="I736" s="5" t="str">
        <f>IF(fin_table[[#This Row],[Account Balance]]&lt;20000,"Active", "Not Active")</f>
        <v>Active</v>
      </c>
      <c r="J736" s="5">
        <v>13238.84</v>
      </c>
      <c r="K736" s="5" t="str">
        <f t="shared" si="79"/>
        <v>Medium</v>
      </c>
      <c r="L736" s="6" t="s">
        <v>100</v>
      </c>
      <c r="M736">
        <v>62</v>
      </c>
      <c r="N736" s="6" t="str">
        <f t="shared" si="80"/>
        <v>Seniors</v>
      </c>
      <c r="O736" s="6" t="s">
        <v>25</v>
      </c>
      <c r="P736" s="6" t="s">
        <v>26</v>
      </c>
      <c r="Q736" t="s">
        <v>1753</v>
      </c>
      <c r="R736" s="6" t="s">
        <v>52</v>
      </c>
      <c r="S736" s="6" t="s">
        <v>62</v>
      </c>
      <c r="T736" s="14">
        <v>4.9099999999999998E-2</v>
      </c>
      <c r="U736">
        <v>4.91</v>
      </c>
      <c r="V736" t="str">
        <f>IF(fin_table[[#This Row],[Interest Rate(%)]]&gt;4,"high","low")</f>
        <v>high</v>
      </c>
      <c r="W736" s="5">
        <v>27824.18</v>
      </c>
      <c r="X736" s="5">
        <f>fin_table[[#This Row],[Interest Rate]]*fin_table[[#This Row],[Loan Amount]]</f>
        <v>1366.167238</v>
      </c>
      <c r="Y736">
        <v>7</v>
      </c>
      <c r="Z736" s="3">
        <v>330</v>
      </c>
      <c r="AA736" s="3" t="str">
        <f t="shared" si="81"/>
        <v>Poor</v>
      </c>
      <c r="AB736" s="3" cm="1">
        <f t="array" ref="AB736">_xlfn.IFS(fin_table[[#This Row],[Transaction Status]]="Failed", 1, fin_table[[#This Row],[Transaction Status]]="Completed",0,fin_table[[#This Row],[Transaction Status]]="Pending",2)</f>
        <v>2</v>
      </c>
      <c r="AC736" s="3" t="str">
        <f>IF(fin_table[[#This Row],[Loan Defaulters]]=1,"Default", "Good")</f>
        <v>Good</v>
      </c>
      <c r="AD736" s="3">
        <f t="shared" si="82"/>
        <v>1</v>
      </c>
      <c r="AE736" s="4">
        <v>10119.26</v>
      </c>
      <c r="AF736" s="4" t="str">
        <f>IF(fin_table[[#This Row],[Monthly Income]]&lt;3000, "Low Income", IF(fin_table[[#This Row],[Monthly Income]]&lt;=5000, "Middle Income", "High Income"))</f>
        <v>High Income</v>
      </c>
      <c r="AG736" t="s">
        <v>30</v>
      </c>
      <c r="AH736" t="s">
        <v>3636</v>
      </c>
      <c r="AI736" t="str">
        <f t="shared" si="83"/>
        <v>Low-Risk</v>
      </c>
    </row>
    <row r="737" spans="1:35" x14ac:dyDescent="0.35">
      <c r="A737" t="s">
        <v>2722</v>
      </c>
      <c r="B737" t="s">
        <v>2723</v>
      </c>
      <c r="C737" t="s">
        <v>2724</v>
      </c>
      <c r="D737" s="1">
        <v>44700</v>
      </c>
      <c r="E737" s="1" t="str">
        <f t="shared" si="77"/>
        <v>19</v>
      </c>
      <c r="F737" s="1" t="str">
        <f t="shared" si="78"/>
        <v>May</v>
      </c>
      <c r="G737" s="6" t="s">
        <v>34</v>
      </c>
      <c r="H737" s="5">
        <v>2827.92</v>
      </c>
      <c r="I737" s="5" t="str">
        <f>IF(fin_table[[#This Row],[Account Balance]]&lt;20000,"Active", "Not Active")</f>
        <v>Not Active</v>
      </c>
      <c r="J737" s="5">
        <v>33053.85</v>
      </c>
      <c r="K737" s="5" t="str">
        <f t="shared" si="79"/>
        <v>Medium</v>
      </c>
      <c r="L737" s="6" t="s">
        <v>125</v>
      </c>
      <c r="M737">
        <v>29</v>
      </c>
      <c r="N737" s="6" t="str">
        <f t="shared" si="80"/>
        <v>Adults</v>
      </c>
      <c r="O737" s="6" t="s">
        <v>25</v>
      </c>
      <c r="P737" s="6" t="s">
        <v>50</v>
      </c>
      <c r="Q737" t="s">
        <v>1498</v>
      </c>
      <c r="R737" s="6" t="s">
        <v>52</v>
      </c>
      <c r="S737" s="6" t="s">
        <v>29</v>
      </c>
      <c r="T737" s="14">
        <v>4.3700000000000003E-2</v>
      </c>
      <c r="U737">
        <v>4.37</v>
      </c>
      <c r="V737" t="str">
        <f>IF(fin_table[[#This Row],[Interest Rate(%)]]&gt;4,"high","low")</f>
        <v>high</v>
      </c>
      <c r="W737" s="5">
        <v>26681.654999999999</v>
      </c>
      <c r="X737" s="5">
        <f>fin_table[[#This Row],[Interest Rate]]*fin_table[[#This Row],[Loan Amount]]</f>
        <v>1165.9883235</v>
      </c>
      <c r="Y737">
        <v>3</v>
      </c>
      <c r="Z737" s="3">
        <v>546</v>
      </c>
      <c r="AA737" s="3" t="str">
        <f t="shared" si="81"/>
        <v>Poor</v>
      </c>
      <c r="AB737" s="3" cm="1">
        <f t="array" ref="AB737">_xlfn.IFS(fin_table[[#This Row],[Transaction Status]]="Failed", 1, fin_table[[#This Row],[Transaction Status]]="Completed",0,fin_table[[#This Row],[Transaction Status]]="Pending",2)</f>
        <v>1</v>
      </c>
      <c r="AC737" s="3" t="str">
        <f>IF(fin_table[[#This Row],[Loan Defaulters]]=1,"Default", "Good")</f>
        <v>Default</v>
      </c>
      <c r="AD737" s="3">
        <f t="shared" si="82"/>
        <v>1</v>
      </c>
      <c r="AE737" s="4">
        <v>14518.69</v>
      </c>
      <c r="AF737" s="4" t="str">
        <f>IF(fin_table[[#This Row],[Monthly Income]]&lt;3000, "Low Income", IF(fin_table[[#This Row],[Monthly Income]]&lt;=5000, "Middle Income", "High Income"))</f>
        <v>High Income</v>
      </c>
      <c r="AG737" t="s">
        <v>30</v>
      </c>
      <c r="AH737" t="s">
        <v>3635</v>
      </c>
      <c r="AI737" t="str">
        <f t="shared" si="83"/>
        <v>Low-Risk</v>
      </c>
    </row>
    <row r="738" spans="1:35" x14ac:dyDescent="0.35">
      <c r="A738" t="s">
        <v>2725</v>
      </c>
      <c r="B738" t="s">
        <v>2726</v>
      </c>
      <c r="C738" t="s">
        <v>2727</v>
      </c>
      <c r="D738" s="1">
        <v>45072</v>
      </c>
      <c r="E738" s="1" t="str">
        <f t="shared" si="77"/>
        <v>26</v>
      </c>
      <c r="F738" s="1" t="str">
        <f t="shared" si="78"/>
        <v>May</v>
      </c>
      <c r="G738" s="6" t="s">
        <v>34</v>
      </c>
      <c r="H738" s="5">
        <v>6258.19</v>
      </c>
      <c r="I738" s="5" t="str">
        <f>IF(fin_table[[#This Row],[Account Balance]]&lt;20000,"Active", "Not Active")</f>
        <v>Not Active</v>
      </c>
      <c r="J738" s="5">
        <v>31342.71</v>
      </c>
      <c r="K738" s="5" t="str">
        <f t="shared" si="79"/>
        <v>Medium</v>
      </c>
      <c r="L738" s="6" t="s">
        <v>100</v>
      </c>
      <c r="M738">
        <v>37</v>
      </c>
      <c r="N738" s="6" t="str">
        <f t="shared" si="80"/>
        <v>Middle-Aged</v>
      </c>
      <c r="O738" s="6" t="s">
        <v>42</v>
      </c>
      <c r="P738" s="6" t="s">
        <v>26</v>
      </c>
      <c r="Q738" t="s">
        <v>2728</v>
      </c>
      <c r="R738" s="6" t="s">
        <v>52</v>
      </c>
      <c r="S738" s="6" t="s">
        <v>44</v>
      </c>
      <c r="T738" s="14">
        <v>1.7100000000000001E-2</v>
      </c>
      <c r="U738">
        <v>1.71</v>
      </c>
      <c r="V738" t="str">
        <f>IF(fin_table[[#This Row],[Interest Rate(%)]]&gt;4,"high","low")</f>
        <v>low</v>
      </c>
      <c r="W738" s="5">
        <v>13291.23</v>
      </c>
      <c r="X738" s="5">
        <f>fin_table[[#This Row],[Interest Rate]]*fin_table[[#This Row],[Loan Amount]]</f>
        <v>227.280033</v>
      </c>
      <c r="Y738">
        <v>5</v>
      </c>
      <c r="Z738" s="3">
        <v>710</v>
      </c>
      <c r="AA738" s="3" t="str">
        <f t="shared" si="81"/>
        <v>Good</v>
      </c>
      <c r="AB738" s="3" cm="1">
        <f t="array" ref="AB738">_xlfn.IFS(fin_table[[#This Row],[Transaction Status]]="Failed", 1, fin_table[[#This Row],[Transaction Status]]="Completed",0,fin_table[[#This Row],[Transaction Status]]="Pending",2)</f>
        <v>0</v>
      </c>
      <c r="AC738" s="3" t="str">
        <f>IF(fin_table[[#This Row],[Loan Defaulters]]=1,"Default", "Good")</f>
        <v>Good</v>
      </c>
      <c r="AD738" s="3">
        <f t="shared" si="82"/>
        <v>3</v>
      </c>
      <c r="AE738" s="4">
        <v>12809.95</v>
      </c>
      <c r="AF738" s="4" t="str">
        <f>IF(fin_table[[#This Row],[Monthly Income]]&lt;3000, "Low Income", IF(fin_table[[#This Row],[Monthly Income]]&lt;=5000, "Middle Income", "High Income"))</f>
        <v>High Income</v>
      </c>
      <c r="AG738" t="s">
        <v>63</v>
      </c>
      <c r="AH738" t="s">
        <v>3636</v>
      </c>
      <c r="AI738" t="str">
        <f t="shared" si="83"/>
        <v>Low-Risk</v>
      </c>
    </row>
    <row r="739" spans="1:35" x14ac:dyDescent="0.35">
      <c r="A739" t="s">
        <v>2729</v>
      </c>
      <c r="B739" t="s">
        <v>2730</v>
      </c>
      <c r="C739" t="s">
        <v>2731</v>
      </c>
      <c r="D739" s="1">
        <v>44818</v>
      </c>
      <c r="E739" s="1" t="str">
        <f t="shared" si="77"/>
        <v>14</v>
      </c>
      <c r="F739" s="1" t="str">
        <f t="shared" si="78"/>
        <v>Sep</v>
      </c>
      <c r="G739" s="6" t="s">
        <v>56</v>
      </c>
      <c r="H739" s="5">
        <v>9925.18</v>
      </c>
      <c r="I739" s="5" t="str">
        <f>IF(fin_table[[#This Row],[Account Balance]]&lt;20000,"Active", "Not Active")</f>
        <v>Active</v>
      </c>
      <c r="J739" s="5">
        <v>17273.38</v>
      </c>
      <c r="K739" s="5" t="str">
        <f t="shared" si="79"/>
        <v>Medium</v>
      </c>
      <c r="L739" s="6" t="s">
        <v>49</v>
      </c>
      <c r="M739">
        <v>18</v>
      </c>
      <c r="N739" s="6" t="str">
        <f t="shared" si="80"/>
        <v>Young Adults</v>
      </c>
      <c r="O739" s="6" t="s">
        <v>25</v>
      </c>
      <c r="P739" s="6" t="s">
        <v>36</v>
      </c>
      <c r="Q739" t="s">
        <v>344</v>
      </c>
      <c r="R739" s="6" t="s">
        <v>38</v>
      </c>
      <c r="S739" s="6" t="s">
        <v>29</v>
      </c>
      <c r="T739" s="14">
        <v>4.6199999999999998E-2</v>
      </c>
      <c r="U739">
        <v>4.62</v>
      </c>
      <c r="V739" t="str">
        <f>IF(fin_table[[#This Row],[Interest Rate(%)]]&gt;4,"high","low")</f>
        <v>high</v>
      </c>
      <c r="W739" s="5">
        <v>9790.14</v>
      </c>
      <c r="X739" s="5">
        <f>fin_table[[#This Row],[Interest Rate]]*fin_table[[#This Row],[Loan Amount]]</f>
        <v>452.30446799999993</v>
      </c>
      <c r="Y739">
        <v>13</v>
      </c>
      <c r="Z739" s="3">
        <v>326</v>
      </c>
      <c r="AA739" s="3" t="str">
        <f t="shared" si="81"/>
        <v>Poor</v>
      </c>
      <c r="AB739" s="3" cm="1">
        <f t="array" ref="AB739">_xlfn.IFS(fin_table[[#This Row],[Transaction Status]]="Failed", 1, fin_table[[#This Row],[Transaction Status]]="Completed",0,fin_table[[#This Row],[Transaction Status]]="Pending",2)</f>
        <v>1</v>
      </c>
      <c r="AC739" s="3" t="str">
        <f>IF(fin_table[[#This Row],[Loan Defaulters]]=1,"Default", "Good")</f>
        <v>Default</v>
      </c>
      <c r="AD739" s="3">
        <f t="shared" si="82"/>
        <v>1</v>
      </c>
      <c r="AE739" s="4">
        <v>8026.18</v>
      </c>
      <c r="AF739" s="4" t="str">
        <f>IF(fin_table[[#This Row],[Monthly Income]]&lt;3000, "Low Income", IF(fin_table[[#This Row],[Monthly Income]]&lt;=5000, "Middle Income", "High Income"))</f>
        <v>High Income</v>
      </c>
      <c r="AG739" t="s">
        <v>45</v>
      </c>
      <c r="AH739" t="s">
        <v>3636</v>
      </c>
      <c r="AI739" t="str">
        <f t="shared" si="83"/>
        <v>Low-Risk</v>
      </c>
    </row>
    <row r="740" spans="1:35" x14ac:dyDescent="0.35">
      <c r="A740" t="s">
        <v>2732</v>
      </c>
      <c r="B740" t="s">
        <v>2050</v>
      </c>
      <c r="C740" t="s">
        <v>2733</v>
      </c>
      <c r="D740" s="1">
        <v>45071</v>
      </c>
      <c r="E740" s="1" t="str">
        <f t="shared" si="77"/>
        <v>25</v>
      </c>
      <c r="F740" s="1" t="str">
        <f t="shared" si="78"/>
        <v>May</v>
      </c>
      <c r="G740" s="6" t="s">
        <v>71</v>
      </c>
      <c r="H740" s="5">
        <v>3924.6</v>
      </c>
      <c r="I740" s="5" t="str">
        <f>IF(fin_table[[#This Row],[Account Balance]]&lt;20000,"Active", "Not Active")</f>
        <v>Not Active</v>
      </c>
      <c r="J740" s="5">
        <v>46476.99</v>
      </c>
      <c r="K740" s="5" t="str">
        <f t="shared" si="79"/>
        <v>Medium</v>
      </c>
      <c r="L740" s="6" t="s">
        <v>49</v>
      </c>
      <c r="M740">
        <v>38</v>
      </c>
      <c r="N740" s="6" t="str">
        <f t="shared" si="80"/>
        <v>Middle-Aged</v>
      </c>
      <c r="O740" s="6" t="s">
        <v>25</v>
      </c>
      <c r="P740" s="6" t="s">
        <v>50</v>
      </c>
      <c r="Q740" t="s">
        <v>634</v>
      </c>
      <c r="R740" s="6" t="s">
        <v>28</v>
      </c>
      <c r="S740" s="6" t="s">
        <v>29</v>
      </c>
      <c r="T740" s="14">
        <v>2.3599999999999999E-2</v>
      </c>
      <c r="U740">
        <v>2.36</v>
      </c>
      <c r="V740" t="str">
        <f>IF(fin_table[[#This Row],[Interest Rate(%)]]&gt;4,"high","low")</f>
        <v>low</v>
      </c>
      <c r="W740" s="5">
        <v>26681.654999999999</v>
      </c>
      <c r="X740" s="5">
        <f>fin_table[[#This Row],[Interest Rate]]*fin_table[[#This Row],[Loan Amount]]</f>
        <v>629.68705799999998</v>
      </c>
      <c r="Y740">
        <v>15</v>
      </c>
      <c r="Z740" s="3">
        <v>372</v>
      </c>
      <c r="AA740" s="3" t="str">
        <f t="shared" si="81"/>
        <v>Poor</v>
      </c>
      <c r="AB740" s="3" cm="1">
        <f t="array" ref="AB740">_xlfn.IFS(fin_table[[#This Row],[Transaction Status]]="Failed", 1, fin_table[[#This Row],[Transaction Status]]="Completed",0,fin_table[[#This Row],[Transaction Status]]="Pending",2)</f>
        <v>1</v>
      </c>
      <c r="AC740" s="3" t="str">
        <f>IF(fin_table[[#This Row],[Loan Defaulters]]=1,"Default", "Good")</f>
        <v>Default</v>
      </c>
      <c r="AD740" s="3">
        <f t="shared" si="82"/>
        <v>1</v>
      </c>
      <c r="AE740" s="4">
        <v>11587.36</v>
      </c>
      <c r="AF740" s="4" t="str">
        <f>IF(fin_table[[#This Row],[Monthly Income]]&lt;3000, "Low Income", IF(fin_table[[#This Row],[Monthly Income]]&lt;=5000, "Middle Income", "High Income"))</f>
        <v>High Income</v>
      </c>
      <c r="AG740" t="s">
        <v>63</v>
      </c>
      <c r="AH740" t="s">
        <v>3635</v>
      </c>
      <c r="AI740" t="str">
        <f t="shared" si="83"/>
        <v>Low-Risk</v>
      </c>
    </row>
    <row r="741" spans="1:35" x14ac:dyDescent="0.35">
      <c r="A741" t="s">
        <v>2734</v>
      </c>
      <c r="B741" t="s">
        <v>2735</v>
      </c>
      <c r="C741" t="s">
        <v>2736</v>
      </c>
      <c r="D741" s="1">
        <v>44567</v>
      </c>
      <c r="E741" s="1" t="str">
        <f t="shared" si="77"/>
        <v>06</v>
      </c>
      <c r="F741" s="1" t="str">
        <f t="shared" si="78"/>
        <v>Jan</v>
      </c>
      <c r="G741" s="6" t="s">
        <v>71</v>
      </c>
      <c r="H741" s="5">
        <v>5781.03</v>
      </c>
      <c r="I741" s="5" t="str">
        <f>IF(fin_table[[#This Row],[Account Balance]]&lt;20000,"Active", "Not Active")</f>
        <v>Not Active</v>
      </c>
      <c r="J741" s="5">
        <v>42398.25</v>
      </c>
      <c r="K741" s="5" t="str">
        <f t="shared" si="79"/>
        <v>Medium</v>
      </c>
      <c r="L741" s="6" t="s">
        <v>24</v>
      </c>
      <c r="M741">
        <v>66</v>
      </c>
      <c r="N741" s="6" t="str">
        <f t="shared" si="80"/>
        <v>Seniors</v>
      </c>
      <c r="O741" s="6" t="s">
        <v>25</v>
      </c>
      <c r="P741" s="6" t="s">
        <v>36</v>
      </c>
      <c r="Q741" t="s">
        <v>109</v>
      </c>
      <c r="R741" s="6" t="s">
        <v>52</v>
      </c>
      <c r="S741" s="6" t="s">
        <v>29</v>
      </c>
      <c r="T741" s="14">
        <v>2.5100000000000001E-2</v>
      </c>
      <c r="U741">
        <v>2.5099999999999998</v>
      </c>
      <c r="V741" t="str">
        <f>IF(fin_table[[#This Row],[Interest Rate(%)]]&gt;4,"high","low")</f>
        <v>low</v>
      </c>
      <c r="W741" s="5">
        <v>13984.19</v>
      </c>
      <c r="X741" s="5">
        <f>fin_table[[#This Row],[Interest Rate]]*fin_table[[#This Row],[Loan Amount]]</f>
        <v>351.00316900000001</v>
      </c>
      <c r="Y741">
        <v>13</v>
      </c>
      <c r="Z741" s="3">
        <v>396</v>
      </c>
      <c r="AA741" s="3" t="str">
        <f t="shared" si="81"/>
        <v>Poor</v>
      </c>
      <c r="AB741" s="3" cm="1">
        <f t="array" ref="AB741">_xlfn.IFS(fin_table[[#This Row],[Transaction Status]]="Failed", 1, fin_table[[#This Row],[Transaction Status]]="Completed",0,fin_table[[#This Row],[Transaction Status]]="Pending",2)</f>
        <v>1</v>
      </c>
      <c r="AC741" s="3" t="str">
        <f>IF(fin_table[[#This Row],[Loan Defaulters]]=1,"Default", "Good")</f>
        <v>Default</v>
      </c>
      <c r="AD741" s="3">
        <f t="shared" si="82"/>
        <v>1</v>
      </c>
      <c r="AE741" s="4">
        <v>3665.76</v>
      </c>
      <c r="AF741" s="4" t="str">
        <f>IF(fin_table[[#This Row],[Monthly Income]]&lt;3000, "Low Income", IF(fin_table[[#This Row],[Monthly Income]]&lt;=5000, "Middle Income", "High Income"))</f>
        <v>Middle Income</v>
      </c>
      <c r="AG741" t="s">
        <v>30</v>
      </c>
      <c r="AH741" t="s">
        <v>3636</v>
      </c>
      <c r="AI741" t="str">
        <f t="shared" si="83"/>
        <v>Low-Risk</v>
      </c>
    </row>
    <row r="742" spans="1:35" x14ac:dyDescent="0.35">
      <c r="A742" t="s">
        <v>2737</v>
      </c>
      <c r="B742" t="s">
        <v>2738</v>
      </c>
      <c r="C742" t="s">
        <v>2739</v>
      </c>
      <c r="D742" s="1">
        <v>44634</v>
      </c>
      <c r="E742" s="1" t="str">
        <f t="shared" si="77"/>
        <v>14</v>
      </c>
      <c r="F742" s="1" t="str">
        <f t="shared" si="78"/>
        <v>Mar</v>
      </c>
      <c r="G742" s="6" t="s">
        <v>23</v>
      </c>
      <c r="H742" s="5">
        <v>4214.4799999999996</v>
      </c>
      <c r="I742" s="5" t="str">
        <f>IF(fin_table[[#This Row],[Account Balance]]&lt;20000,"Active", "Not Active")</f>
        <v>Active</v>
      </c>
      <c r="J742" s="5">
        <v>11975.14</v>
      </c>
      <c r="K742" s="5" t="str">
        <f t="shared" si="79"/>
        <v>Medium</v>
      </c>
      <c r="L742" s="6" t="s">
        <v>35</v>
      </c>
      <c r="M742">
        <v>62</v>
      </c>
      <c r="N742" s="6" t="str">
        <f t="shared" si="80"/>
        <v>Seniors</v>
      </c>
      <c r="O742" s="6" t="s">
        <v>25</v>
      </c>
      <c r="P742" s="6" t="s">
        <v>36</v>
      </c>
      <c r="Q742" t="s">
        <v>214</v>
      </c>
      <c r="R742" s="6" t="s">
        <v>28</v>
      </c>
      <c r="S742" s="6" t="s">
        <v>29</v>
      </c>
      <c r="T742" s="14">
        <v>4.6300000000000001E-2</v>
      </c>
      <c r="U742">
        <v>4.63</v>
      </c>
      <c r="V742" t="str">
        <f>IF(fin_table[[#This Row],[Interest Rate(%)]]&gt;4,"high","low")</f>
        <v>high</v>
      </c>
      <c r="W742" s="5">
        <v>7694.36</v>
      </c>
      <c r="X742" s="5">
        <f>fin_table[[#This Row],[Interest Rate]]*fin_table[[#This Row],[Loan Amount]]</f>
        <v>356.24886800000002</v>
      </c>
      <c r="Y742">
        <v>13</v>
      </c>
      <c r="Z742" s="3">
        <v>645</v>
      </c>
      <c r="AA742" s="3" t="str">
        <f t="shared" si="81"/>
        <v>Fair</v>
      </c>
      <c r="AB742" s="3" cm="1">
        <f t="array" ref="AB742">_xlfn.IFS(fin_table[[#This Row],[Transaction Status]]="Failed", 1, fin_table[[#This Row],[Transaction Status]]="Completed",0,fin_table[[#This Row],[Transaction Status]]="Pending",2)</f>
        <v>1</v>
      </c>
      <c r="AC742" s="3" t="str">
        <f>IF(fin_table[[#This Row],[Loan Defaulters]]=1,"Default", "Good")</f>
        <v>Default</v>
      </c>
      <c r="AD742" s="3">
        <f t="shared" si="82"/>
        <v>2</v>
      </c>
      <c r="AE742" s="4">
        <v>8657.35</v>
      </c>
      <c r="AF742" s="4" t="str">
        <f>IF(fin_table[[#This Row],[Monthly Income]]&lt;3000, "Low Income", IF(fin_table[[#This Row],[Monthly Income]]&lt;=5000, "Middle Income", "High Income"))</f>
        <v>High Income</v>
      </c>
      <c r="AG742" t="s">
        <v>45</v>
      </c>
      <c r="AH742" t="s">
        <v>3636</v>
      </c>
      <c r="AI742" t="str">
        <f t="shared" si="83"/>
        <v>Low-Risk</v>
      </c>
    </row>
    <row r="743" spans="1:35" x14ac:dyDescent="0.35">
      <c r="A743" t="s">
        <v>2740</v>
      </c>
      <c r="B743" t="s">
        <v>2741</v>
      </c>
      <c r="C743" t="s">
        <v>2742</v>
      </c>
      <c r="D743" s="1">
        <v>45134</v>
      </c>
      <c r="E743" s="1" t="str">
        <f t="shared" si="77"/>
        <v>27</v>
      </c>
      <c r="F743" s="1" t="str">
        <f t="shared" si="78"/>
        <v>Jul</v>
      </c>
      <c r="G743" s="6" t="s">
        <v>71</v>
      </c>
      <c r="H743" s="5">
        <v>8487.99</v>
      </c>
      <c r="I743" s="5" t="str">
        <f>IF(fin_table[[#This Row],[Account Balance]]&lt;20000,"Active", "Not Active")</f>
        <v>Active</v>
      </c>
      <c r="J743" s="5">
        <v>12717.98</v>
      </c>
      <c r="K743" s="5" t="str">
        <f t="shared" si="79"/>
        <v>Medium</v>
      </c>
      <c r="L743" s="6" t="s">
        <v>49</v>
      </c>
      <c r="M743">
        <v>18</v>
      </c>
      <c r="N743" s="6" t="str">
        <f t="shared" si="80"/>
        <v>Young Adults</v>
      </c>
      <c r="O743" s="6" t="s">
        <v>25</v>
      </c>
      <c r="P743" s="6" t="s">
        <v>26</v>
      </c>
      <c r="Q743" t="s">
        <v>2743</v>
      </c>
      <c r="R743" s="6" t="s">
        <v>52</v>
      </c>
      <c r="S743" s="6" t="s">
        <v>29</v>
      </c>
      <c r="T743" s="14">
        <v>3.1199999999999999E-2</v>
      </c>
      <c r="U743">
        <v>3.12</v>
      </c>
      <c r="V743" t="str">
        <f>IF(fin_table[[#This Row],[Interest Rate(%)]]&gt;4,"high","low")</f>
        <v>low</v>
      </c>
      <c r="W743" s="5">
        <v>26681.654999999999</v>
      </c>
      <c r="X743" s="5">
        <f>fin_table[[#This Row],[Interest Rate]]*fin_table[[#This Row],[Loan Amount]]</f>
        <v>832.46763599999997</v>
      </c>
      <c r="Y743">
        <v>8</v>
      </c>
      <c r="Z743" s="3">
        <v>775</v>
      </c>
      <c r="AA743" s="3" t="str">
        <f t="shared" si="81"/>
        <v>Very Good</v>
      </c>
      <c r="AB743" s="3" cm="1">
        <f t="array" ref="AB743">_xlfn.IFS(fin_table[[#This Row],[Transaction Status]]="Failed", 1, fin_table[[#This Row],[Transaction Status]]="Completed",0,fin_table[[#This Row],[Transaction Status]]="Pending",2)</f>
        <v>1</v>
      </c>
      <c r="AC743" s="3" t="str">
        <f>IF(fin_table[[#This Row],[Loan Defaulters]]=1,"Default", "Good")</f>
        <v>Default</v>
      </c>
      <c r="AD743" s="3">
        <f t="shared" si="82"/>
        <v>4</v>
      </c>
      <c r="AE743" s="4">
        <v>5627.78</v>
      </c>
      <c r="AF743" s="4" t="str">
        <f>IF(fin_table[[#This Row],[Monthly Income]]&lt;3000, "Low Income", IF(fin_table[[#This Row],[Monthly Income]]&lt;=5000, "Middle Income", "High Income"))</f>
        <v>High Income</v>
      </c>
      <c r="AG743" t="s">
        <v>45</v>
      </c>
      <c r="AH743" t="s">
        <v>3635</v>
      </c>
      <c r="AI743" t="str">
        <f t="shared" si="83"/>
        <v>Low-Risk</v>
      </c>
    </row>
    <row r="744" spans="1:35" x14ac:dyDescent="0.35">
      <c r="A744" t="s">
        <v>2744</v>
      </c>
      <c r="B744" t="s">
        <v>90</v>
      </c>
      <c r="C744" t="s">
        <v>2745</v>
      </c>
      <c r="D744" s="1">
        <v>44759</v>
      </c>
      <c r="E744" s="1" t="str">
        <f t="shared" si="77"/>
        <v>17</v>
      </c>
      <c r="F744" s="1" t="str">
        <f t="shared" si="78"/>
        <v>Jul</v>
      </c>
      <c r="G744" s="6" t="s">
        <v>23</v>
      </c>
      <c r="H744" s="5">
        <v>9032.14</v>
      </c>
      <c r="I744" s="5" t="str">
        <f>IF(fin_table[[#This Row],[Account Balance]]&lt;20000,"Active", "Not Active")</f>
        <v>Not Active</v>
      </c>
      <c r="J744" s="5">
        <v>26102.720000000001</v>
      </c>
      <c r="K744" s="5" t="str">
        <f t="shared" si="79"/>
        <v>Medium</v>
      </c>
      <c r="L744" s="6" t="s">
        <v>100</v>
      </c>
      <c r="M744">
        <v>27</v>
      </c>
      <c r="N744" s="6" t="str">
        <f t="shared" si="80"/>
        <v>Adults</v>
      </c>
      <c r="O744" s="6" t="s">
        <v>42</v>
      </c>
      <c r="P744" s="6" t="s">
        <v>36</v>
      </c>
      <c r="Q744" t="s">
        <v>1775</v>
      </c>
      <c r="R744" s="6" t="s">
        <v>28</v>
      </c>
      <c r="S744" s="6" t="s">
        <v>62</v>
      </c>
      <c r="T744" s="14">
        <v>1.55E-2</v>
      </c>
      <c r="U744">
        <v>1.55</v>
      </c>
      <c r="V744" t="str">
        <f>IF(fin_table[[#This Row],[Interest Rate(%)]]&gt;4,"high","low")</f>
        <v>low</v>
      </c>
      <c r="W744" s="5">
        <v>26681.654999999999</v>
      </c>
      <c r="X744" s="5">
        <f>fin_table[[#This Row],[Interest Rate]]*fin_table[[#This Row],[Loan Amount]]</f>
        <v>413.5656525</v>
      </c>
      <c r="Y744">
        <v>13</v>
      </c>
      <c r="Z744" s="3">
        <v>599</v>
      </c>
      <c r="AA744" s="3" t="str">
        <f t="shared" si="81"/>
        <v>Fair</v>
      </c>
      <c r="AB744" s="3" cm="1">
        <f t="array" ref="AB744">_xlfn.IFS(fin_table[[#This Row],[Transaction Status]]="Failed", 1, fin_table[[#This Row],[Transaction Status]]="Completed",0,fin_table[[#This Row],[Transaction Status]]="Pending",2)</f>
        <v>2</v>
      </c>
      <c r="AC744" s="3" t="str">
        <f>IF(fin_table[[#This Row],[Loan Defaulters]]=1,"Default", "Good")</f>
        <v>Good</v>
      </c>
      <c r="AD744" s="3">
        <f t="shared" si="82"/>
        <v>2</v>
      </c>
      <c r="AE744" s="4">
        <v>4095.13</v>
      </c>
      <c r="AF744" s="4" t="str">
        <f>IF(fin_table[[#This Row],[Monthly Income]]&lt;3000, "Low Income", IF(fin_table[[#This Row],[Monthly Income]]&lt;=5000, "Middle Income", "High Income"))</f>
        <v>Middle Income</v>
      </c>
      <c r="AG744" t="s">
        <v>45</v>
      </c>
      <c r="AH744" t="s">
        <v>3635</v>
      </c>
      <c r="AI744" t="str">
        <f t="shared" si="83"/>
        <v>Low-Risk</v>
      </c>
    </row>
    <row r="745" spans="1:35" x14ac:dyDescent="0.35">
      <c r="A745" t="s">
        <v>2746</v>
      </c>
      <c r="B745" t="s">
        <v>2747</v>
      </c>
      <c r="C745" t="s">
        <v>2748</v>
      </c>
      <c r="D745" s="1">
        <v>44821</v>
      </c>
      <c r="E745" s="1" t="str">
        <f t="shared" si="77"/>
        <v>17</v>
      </c>
      <c r="F745" s="1" t="str">
        <f t="shared" si="78"/>
        <v>Sep</v>
      </c>
      <c r="G745" s="6" t="s">
        <v>71</v>
      </c>
      <c r="H745" s="5">
        <v>8785.82</v>
      </c>
      <c r="I745" s="5" t="str">
        <f>IF(fin_table[[#This Row],[Account Balance]]&lt;20000,"Active", "Not Active")</f>
        <v>Not Active</v>
      </c>
      <c r="J745" s="5">
        <v>38905.03</v>
      </c>
      <c r="K745" s="5" t="str">
        <f t="shared" si="79"/>
        <v>Medium</v>
      </c>
      <c r="L745" s="6" t="s">
        <v>100</v>
      </c>
      <c r="M745">
        <v>64</v>
      </c>
      <c r="N745" s="6" t="str">
        <f t="shared" si="80"/>
        <v>Seniors</v>
      </c>
      <c r="O745" s="6" t="s">
        <v>42</v>
      </c>
      <c r="P745" s="6" t="s">
        <v>50</v>
      </c>
      <c r="Q745" t="s">
        <v>2446</v>
      </c>
      <c r="R745" s="6" t="s">
        <v>28</v>
      </c>
      <c r="S745" s="6" t="s">
        <v>29</v>
      </c>
      <c r="T745" s="14">
        <v>2.4799999999999999E-2</v>
      </c>
      <c r="U745">
        <v>2.48</v>
      </c>
      <c r="V745" t="str">
        <f>IF(fin_table[[#This Row],[Interest Rate(%)]]&gt;4,"high","low")</f>
        <v>low</v>
      </c>
      <c r="W745" s="5">
        <v>26681.654999999999</v>
      </c>
      <c r="X745" s="5">
        <f>fin_table[[#This Row],[Interest Rate]]*fin_table[[#This Row],[Loan Amount]]</f>
        <v>661.70504399999993</v>
      </c>
      <c r="Y745">
        <v>9</v>
      </c>
      <c r="Z745" s="3">
        <v>598</v>
      </c>
      <c r="AA745" s="3" t="str">
        <f t="shared" si="81"/>
        <v>Fair</v>
      </c>
      <c r="AB745" s="3" cm="1">
        <f t="array" ref="AB745">_xlfn.IFS(fin_table[[#This Row],[Transaction Status]]="Failed", 1, fin_table[[#This Row],[Transaction Status]]="Completed",0,fin_table[[#This Row],[Transaction Status]]="Pending",2)</f>
        <v>1</v>
      </c>
      <c r="AC745" s="3" t="str">
        <f>IF(fin_table[[#This Row],[Loan Defaulters]]=1,"Default", "Good")</f>
        <v>Default</v>
      </c>
      <c r="AD745" s="3">
        <f t="shared" si="82"/>
        <v>2</v>
      </c>
      <c r="AE745" s="4">
        <v>7541.65</v>
      </c>
      <c r="AF745" s="4" t="str">
        <f>IF(fin_table[[#This Row],[Monthly Income]]&lt;3000, "Low Income", IF(fin_table[[#This Row],[Monthly Income]]&lt;=5000, "Middle Income", "High Income"))</f>
        <v>High Income</v>
      </c>
      <c r="AG745" t="s">
        <v>45</v>
      </c>
      <c r="AH745" t="s">
        <v>3635</v>
      </c>
      <c r="AI745" t="str">
        <f t="shared" si="83"/>
        <v>Low-Risk</v>
      </c>
    </row>
    <row r="746" spans="1:35" x14ac:dyDescent="0.35">
      <c r="A746" t="s">
        <v>2749</v>
      </c>
      <c r="B746" t="s">
        <v>2549</v>
      </c>
      <c r="C746" t="s">
        <v>2750</v>
      </c>
      <c r="D746" s="1">
        <v>44964</v>
      </c>
      <c r="E746" s="1" t="str">
        <f t="shared" si="77"/>
        <v>07</v>
      </c>
      <c r="F746" s="1" t="str">
        <f t="shared" si="78"/>
        <v>Feb</v>
      </c>
      <c r="G746" s="6" t="s">
        <v>71</v>
      </c>
      <c r="H746" s="5">
        <v>9746.2900000000009</v>
      </c>
      <c r="I746" s="5" t="str">
        <f>IF(fin_table[[#This Row],[Account Balance]]&lt;20000,"Active", "Not Active")</f>
        <v>Active</v>
      </c>
      <c r="J746" s="5">
        <v>3157.98</v>
      </c>
      <c r="K746" s="5" t="str">
        <f t="shared" si="79"/>
        <v>Low</v>
      </c>
      <c r="L746" s="6" t="s">
        <v>35</v>
      </c>
      <c r="M746">
        <v>49</v>
      </c>
      <c r="N746" s="6" t="str">
        <f t="shared" si="80"/>
        <v>Older Adults</v>
      </c>
      <c r="O746" s="6" t="s">
        <v>25</v>
      </c>
      <c r="P746" s="6" t="s">
        <v>36</v>
      </c>
      <c r="Q746" t="s">
        <v>2751</v>
      </c>
      <c r="R746" s="6" t="s">
        <v>52</v>
      </c>
      <c r="S746" s="6" t="s">
        <v>29</v>
      </c>
      <c r="T746" s="14">
        <v>3.8899999999999997E-2</v>
      </c>
      <c r="U746">
        <v>3.89</v>
      </c>
      <c r="V746" t="str">
        <f>IF(fin_table[[#This Row],[Interest Rate(%)]]&gt;4,"high","low")</f>
        <v>low</v>
      </c>
      <c r="W746" s="5">
        <v>26681.654999999999</v>
      </c>
      <c r="X746" s="5">
        <f>fin_table[[#This Row],[Interest Rate]]*fin_table[[#This Row],[Loan Amount]]</f>
        <v>1037.9163794999999</v>
      </c>
      <c r="Y746">
        <v>13</v>
      </c>
      <c r="Z746" s="3">
        <v>586</v>
      </c>
      <c r="AA746" s="3" t="str">
        <f t="shared" si="81"/>
        <v>Fair</v>
      </c>
      <c r="AB746" s="3" cm="1">
        <f t="array" ref="AB746">_xlfn.IFS(fin_table[[#This Row],[Transaction Status]]="Failed", 1, fin_table[[#This Row],[Transaction Status]]="Completed",0,fin_table[[#This Row],[Transaction Status]]="Pending",2)</f>
        <v>1</v>
      </c>
      <c r="AC746" s="3" t="str">
        <f>IF(fin_table[[#This Row],[Loan Defaulters]]=1,"Default", "Good")</f>
        <v>Default</v>
      </c>
      <c r="AD746" s="3">
        <f t="shared" si="82"/>
        <v>2</v>
      </c>
      <c r="AE746" s="4">
        <v>3703.19</v>
      </c>
      <c r="AF746" s="4" t="str">
        <f>IF(fin_table[[#This Row],[Monthly Income]]&lt;3000, "Low Income", IF(fin_table[[#This Row],[Monthly Income]]&lt;=5000, "Middle Income", "High Income"))</f>
        <v>Middle Income</v>
      </c>
      <c r="AG746" t="s">
        <v>30</v>
      </c>
      <c r="AH746" t="s">
        <v>3635</v>
      </c>
      <c r="AI746" t="str">
        <f t="shared" si="83"/>
        <v>Low-Risk</v>
      </c>
    </row>
    <row r="747" spans="1:35" x14ac:dyDescent="0.35">
      <c r="A747" t="s">
        <v>2752</v>
      </c>
      <c r="B747" t="s">
        <v>2753</v>
      </c>
      <c r="C747" t="s">
        <v>2754</v>
      </c>
      <c r="D747" s="1">
        <v>45098</v>
      </c>
      <c r="E747" s="1" t="str">
        <f t="shared" si="77"/>
        <v>21</v>
      </c>
      <c r="F747" s="1" t="str">
        <f t="shared" si="78"/>
        <v>Jun</v>
      </c>
      <c r="G747" s="6" t="s">
        <v>34</v>
      </c>
      <c r="H747" s="5">
        <v>372.44</v>
      </c>
      <c r="I747" s="5" t="str">
        <f>IF(fin_table[[#This Row],[Account Balance]]&lt;20000,"Active", "Not Active")</f>
        <v>Not Active</v>
      </c>
      <c r="J747" s="5">
        <v>34973.42</v>
      </c>
      <c r="K747" s="5" t="str">
        <f t="shared" si="79"/>
        <v>Medium</v>
      </c>
      <c r="L747" s="6" t="s">
        <v>35</v>
      </c>
      <c r="M747">
        <v>56</v>
      </c>
      <c r="N747" s="6" t="str">
        <f t="shared" si="80"/>
        <v>Older Adults</v>
      </c>
      <c r="O747" s="6" t="s">
        <v>25</v>
      </c>
      <c r="P747" s="6" t="s">
        <v>36</v>
      </c>
      <c r="Q747" t="s">
        <v>601</v>
      </c>
      <c r="R747" s="6" t="s">
        <v>52</v>
      </c>
      <c r="S747" s="6" t="s">
        <v>44</v>
      </c>
      <c r="T747" s="14">
        <v>1.7000000000000001E-2</v>
      </c>
      <c r="U747">
        <v>1.7000000000000001E-2</v>
      </c>
      <c r="V747" t="str">
        <f>IF(fin_table[[#This Row],[Interest Rate(%)]]&gt;4,"high","low")</f>
        <v>low</v>
      </c>
      <c r="W747" s="5">
        <v>26681.654999999999</v>
      </c>
      <c r="X747" s="5">
        <f>fin_table[[#This Row],[Interest Rate]]*fin_table[[#This Row],[Loan Amount]]</f>
        <v>453.58813500000002</v>
      </c>
      <c r="Y747">
        <v>13</v>
      </c>
      <c r="Z747" s="3">
        <v>748</v>
      </c>
      <c r="AA747" s="3" t="str">
        <f t="shared" si="81"/>
        <v>Very Good</v>
      </c>
      <c r="AB747" s="3" cm="1">
        <f t="array" ref="AB747">_xlfn.IFS(fin_table[[#This Row],[Transaction Status]]="Failed", 1, fin_table[[#This Row],[Transaction Status]]="Completed",0,fin_table[[#This Row],[Transaction Status]]="Pending",2)</f>
        <v>0</v>
      </c>
      <c r="AC747" s="3" t="str">
        <f>IF(fin_table[[#This Row],[Loan Defaulters]]=1,"Default", "Good")</f>
        <v>Good</v>
      </c>
      <c r="AD747" s="3">
        <f t="shared" si="82"/>
        <v>4</v>
      </c>
      <c r="AE747" s="4">
        <v>11086.81</v>
      </c>
      <c r="AF747" s="4" t="str">
        <f>IF(fin_table[[#This Row],[Monthly Income]]&lt;3000, "Low Income", IF(fin_table[[#This Row],[Monthly Income]]&lt;=5000, "Middle Income", "High Income"))</f>
        <v>High Income</v>
      </c>
      <c r="AG747" t="s">
        <v>45</v>
      </c>
      <c r="AH747" t="s">
        <v>3635</v>
      </c>
      <c r="AI747" t="str">
        <f t="shared" si="83"/>
        <v>Low-Risk</v>
      </c>
    </row>
    <row r="748" spans="1:35" x14ac:dyDescent="0.35">
      <c r="A748" t="s">
        <v>2755</v>
      </c>
      <c r="B748" t="s">
        <v>2756</v>
      </c>
      <c r="C748" t="s">
        <v>2757</v>
      </c>
      <c r="D748" s="1">
        <v>44819</v>
      </c>
      <c r="E748" s="1" t="str">
        <f t="shared" si="77"/>
        <v>15</v>
      </c>
      <c r="F748" s="1" t="str">
        <f t="shared" si="78"/>
        <v>Sep</v>
      </c>
      <c r="G748" s="6" t="s">
        <v>23</v>
      </c>
      <c r="H748" s="5">
        <v>8414.18</v>
      </c>
      <c r="I748" s="5" t="str">
        <f>IF(fin_table[[#This Row],[Account Balance]]&lt;20000,"Active", "Not Active")</f>
        <v>Not Active</v>
      </c>
      <c r="J748" s="5">
        <v>32763.56</v>
      </c>
      <c r="K748" s="5" t="str">
        <f t="shared" si="79"/>
        <v>Medium</v>
      </c>
      <c r="L748" s="6" t="s">
        <v>24</v>
      </c>
      <c r="M748">
        <v>39</v>
      </c>
      <c r="N748" s="6" t="str">
        <f t="shared" si="80"/>
        <v>Middle-Aged</v>
      </c>
      <c r="O748" s="6" t="s">
        <v>42</v>
      </c>
      <c r="P748" s="6" t="s">
        <v>26</v>
      </c>
      <c r="Q748" t="s">
        <v>80</v>
      </c>
      <c r="R748" s="6" t="s">
        <v>28</v>
      </c>
      <c r="S748" s="6" t="s">
        <v>29</v>
      </c>
      <c r="T748" s="14">
        <v>3.3599999999999998E-2</v>
      </c>
      <c r="U748">
        <v>3.36</v>
      </c>
      <c r="V748" t="str">
        <f>IF(fin_table[[#This Row],[Interest Rate(%)]]&gt;4,"high","low")</f>
        <v>low</v>
      </c>
      <c r="W748" s="5">
        <v>26681.654999999999</v>
      </c>
      <c r="X748" s="5">
        <f>fin_table[[#This Row],[Interest Rate]]*fin_table[[#This Row],[Loan Amount]]</f>
        <v>896.50360799999987</v>
      </c>
      <c r="Y748">
        <v>2</v>
      </c>
      <c r="Z748" s="3">
        <v>511</v>
      </c>
      <c r="AA748" s="3" t="str">
        <f t="shared" si="81"/>
        <v>Poor</v>
      </c>
      <c r="AB748" s="3" cm="1">
        <f t="array" ref="AB748">_xlfn.IFS(fin_table[[#This Row],[Transaction Status]]="Failed", 1, fin_table[[#This Row],[Transaction Status]]="Completed",0,fin_table[[#This Row],[Transaction Status]]="Pending",2)</f>
        <v>1</v>
      </c>
      <c r="AC748" s="3" t="str">
        <f>IF(fin_table[[#This Row],[Loan Defaulters]]=1,"Default", "Good")</f>
        <v>Default</v>
      </c>
      <c r="AD748" s="3">
        <f t="shared" si="82"/>
        <v>1</v>
      </c>
      <c r="AE748" s="4">
        <v>7931.12</v>
      </c>
      <c r="AF748" s="4" t="str">
        <f>IF(fin_table[[#This Row],[Monthly Income]]&lt;3000, "Low Income", IF(fin_table[[#This Row],[Monthly Income]]&lt;=5000, "Middle Income", "High Income"))</f>
        <v>High Income</v>
      </c>
      <c r="AG748" t="s">
        <v>63</v>
      </c>
      <c r="AH748" t="s">
        <v>3635</v>
      </c>
      <c r="AI748" t="str">
        <f t="shared" si="83"/>
        <v>Low-Risk</v>
      </c>
    </row>
    <row r="749" spans="1:35" x14ac:dyDescent="0.35">
      <c r="A749" t="s">
        <v>2758</v>
      </c>
      <c r="B749" t="s">
        <v>2759</v>
      </c>
      <c r="C749" t="s">
        <v>2760</v>
      </c>
      <c r="D749" s="1">
        <v>44725</v>
      </c>
      <c r="E749" s="1" t="str">
        <f t="shared" si="77"/>
        <v>13</v>
      </c>
      <c r="F749" s="1" t="str">
        <f t="shared" si="78"/>
        <v>Jun</v>
      </c>
      <c r="G749" s="6" t="s">
        <v>71</v>
      </c>
      <c r="H749" s="5">
        <v>7542.54</v>
      </c>
      <c r="I749" s="5" t="str">
        <f>IF(fin_table[[#This Row],[Account Balance]]&lt;20000,"Active", "Not Active")</f>
        <v>Active</v>
      </c>
      <c r="J749" s="5">
        <v>12342.52</v>
      </c>
      <c r="K749" s="5" t="str">
        <f t="shared" si="79"/>
        <v>Medium</v>
      </c>
      <c r="L749" s="6" t="s">
        <v>125</v>
      </c>
      <c r="M749">
        <v>35</v>
      </c>
      <c r="N749" s="6" t="str">
        <f t="shared" si="80"/>
        <v>Adults</v>
      </c>
      <c r="O749" s="6" t="s">
        <v>25</v>
      </c>
      <c r="P749" s="6" t="s">
        <v>36</v>
      </c>
      <c r="Q749" t="s">
        <v>2761</v>
      </c>
      <c r="R749" s="6" t="s">
        <v>28</v>
      </c>
      <c r="S749" s="6" t="s">
        <v>44</v>
      </c>
      <c r="T749" s="14">
        <v>3.78E-2</v>
      </c>
      <c r="U749">
        <v>3.78</v>
      </c>
      <c r="V749" t="str">
        <f>IF(fin_table[[#This Row],[Interest Rate(%)]]&gt;4,"high","low")</f>
        <v>low</v>
      </c>
      <c r="W749" s="5">
        <v>26681.654999999999</v>
      </c>
      <c r="X749" s="5">
        <f>fin_table[[#This Row],[Interest Rate]]*fin_table[[#This Row],[Loan Amount]]</f>
        <v>1008.566559</v>
      </c>
      <c r="Y749">
        <v>20</v>
      </c>
      <c r="Z749" s="3">
        <v>375</v>
      </c>
      <c r="AA749" s="3" t="str">
        <f t="shared" si="81"/>
        <v>Poor</v>
      </c>
      <c r="AB749" s="3" cm="1">
        <f t="array" ref="AB749">_xlfn.IFS(fin_table[[#This Row],[Transaction Status]]="Failed", 1, fin_table[[#This Row],[Transaction Status]]="Completed",0,fin_table[[#This Row],[Transaction Status]]="Pending",2)</f>
        <v>0</v>
      </c>
      <c r="AC749" s="3" t="str">
        <f>IF(fin_table[[#This Row],[Loan Defaulters]]=1,"Default", "Good")</f>
        <v>Good</v>
      </c>
      <c r="AD749" s="3">
        <f t="shared" si="82"/>
        <v>1</v>
      </c>
      <c r="AE749" s="4">
        <v>8904.8799999999992</v>
      </c>
      <c r="AF749" s="4" t="str">
        <f>IF(fin_table[[#This Row],[Monthly Income]]&lt;3000, "Low Income", IF(fin_table[[#This Row],[Monthly Income]]&lt;=5000, "Middle Income", "High Income"))</f>
        <v>High Income</v>
      </c>
      <c r="AG749" t="s">
        <v>63</v>
      </c>
      <c r="AH749" t="s">
        <v>3635</v>
      </c>
      <c r="AI749" t="str">
        <f t="shared" si="83"/>
        <v>Low-Risk</v>
      </c>
    </row>
    <row r="750" spans="1:35" x14ac:dyDescent="0.35">
      <c r="A750" t="s">
        <v>2762</v>
      </c>
      <c r="B750" t="s">
        <v>2008</v>
      </c>
      <c r="C750" t="s">
        <v>2763</v>
      </c>
      <c r="D750" s="1">
        <v>44684</v>
      </c>
      <c r="E750" s="1" t="str">
        <f t="shared" si="77"/>
        <v>03</v>
      </c>
      <c r="F750" s="1" t="str">
        <f t="shared" si="78"/>
        <v>May</v>
      </c>
      <c r="G750" s="6" t="s">
        <v>23</v>
      </c>
      <c r="H750" s="5">
        <v>2364.0700000000002</v>
      </c>
      <c r="I750" s="5" t="str">
        <f>IF(fin_table[[#This Row],[Account Balance]]&lt;20000,"Active", "Not Active")</f>
        <v>Not Active</v>
      </c>
      <c r="J750" s="5">
        <v>34386.300000000003</v>
      </c>
      <c r="K750" s="5" t="str">
        <f t="shared" si="79"/>
        <v>Medium</v>
      </c>
      <c r="L750" s="6" t="s">
        <v>100</v>
      </c>
      <c r="M750">
        <v>65</v>
      </c>
      <c r="N750" s="6" t="str">
        <f t="shared" si="80"/>
        <v>Seniors</v>
      </c>
      <c r="O750" s="6" t="s">
        <v>42</v>
      </c>
      <c r="P750" s="6" t="s">
        <v>26</v>
      </c>
      <c r="Q750" t="s">
        <v>2764</v>
      </c>
      <c r="R750" s="6" t="s">
        <v>28</v>
      </c>
      <c r="S750" s="6" t="s">
        <v>62</v>
      </c>
      <c r="T750" s="14">
        <v>2.3800000000000002E-2</v>
      </c>
      <c r="U750">
        <v>2.38</v>
      </c>
      <c r="V750" t="str">
        <f>IF(fin_table[[#This Row],[Interest Rate(%)]]&gt;4,"high","low")</f>
        <v>low</v>
      </c>
      <c r="W750" s="5">
        <v>6729.15</v>
      </c>
      <c r="X750" s="5">
        <f>fin_table[[#This Row],[Interest Rate]]*fin_table[[#This Row],[Loan Amount]]</f>
        <v>160.15377000000001</v>
      </c>
      <c r="Y750">
        <v>5</v>
      </c>
      <c r="Z750" s="3">
        <v>700</v>
      </c>
      <c r="AA750" s="3" t="str">
        <f t="shared" si="81"/>
        <v>Good</v>
      </c>
      <c r="AB750" s="3" cm="1">
        <f t="array" ref="AB750">_xlfn.IFS(fin_table[[#This Row],[Transaction Status]]="Failed", 1, fin_table[[#This Row],[Transaction Status]]="Completed",0,fin_table[[#This Row],[Transaction Status]]="Pending",2)</f>
        <v>2</v>
      </c>
      <c r="AC750" s="3" t="str">
        <f>IF(fin_table[[#This Row],[Loan Defaulters]]=1,"Default", "Good")</f>
        <v>Good</v>
      </c>
      <c r="AD750" s="3">
        <f t="shared" si="82"/>
        <v>3</v>
      </c>
      <c r="AE750" s="4">
        <v>3902.89</v>
      </c>
      <c r="AF750" s="4" t="str">
        <f>IF(fin_table[[#This Row],[Monthly Income]]&lt;3000, "Low Income", IF(fin_table[[#This Row],[Monthly Income]]&lt;=5000, "Middle Income", "High Income"))</f>
        <v>Middle Income</v>
      </c>
      <c r="AG750" t="s">
        <v>63</v>
      </c>
      <c r="AH750" t="s">
        <v>3636</v>
      </c>
      <c r="AI750" t="str">
        <f t="shared" si="83"/>
        <v>Low-Risk</v>
      </c>
    </row>
    <row r="751" spans="1:35" x14ac:dyDescent="0.35">
      <c r="A751" t="s">
        <v>2765</v>
      </c>
      <c r="B751" t="s">
        <v>1862</v>
      </c>
      <c r="C751" t="s">
        <v>2766</v>
      </c>
      <c r="D751" s="1">
        <v>45093</v>
      </c>
      <c r="E751" s="1" t="str">
        <f t="shared" si="77"/>
        <v>16</v>
      </c>
      <c r="F751" s="1" t="str">
        <f t="shared" si="78"/>
        <v>Jun</v>
      </c>
      <c r="G751" s="6" t="s">
        <v>34</v>
      </c>
      <c r="H751" s="5">
        <v>9567.57</v>
      </c>
      <c r="I751" s="5" t="str">
        <f>IF(fin_table[[#This Row],[Account Balance]]&lt;20000,"Active", "Not Active")</f>
        <v>Not Active</v>
      </c>
      <c r="J751" s="5">
        <v>47068.98</v>
      </c>
      <c r="K751" s="5" t="str">
        <f t="shared" si="79"/>
        <v>Medium</v>
      </c>
      <c r="L751" s="6" t="s">
        <v>35</v>
      </c>
      <c r="M751">
        <v>63</v>
      </c>
      <c r="N751" s="6" t="str">
        <f t="shared" si="80"/>
        <v>Seniors</v>
      </c>
      <c r="O751" s="6" t="s">
        <v>42</v>
      </c>
      <c r="P751" s="6" t="s">
        <v>26</v>
      </c>
      <c r="Q751" t="s">
        <v>469</v>
      </c>
      <c r="R751" s="6" t="s">
        <v>38</v>
      </c>
      <c r="S751" s="6" t="s">
        <v>62</v>
      </c>
      <c r="T751" s="14">
        <v>3.78E-2</v>
      </c>
      <c r="U751">
        <v>3.78</v>
      </c>
      <c r="V751" t="str">
        <f>IF(fin_table[[#This Row],[Interest Rate(%)]]&gt;4,"high","low")</f>
        <v>low</v>
      </c>
      <c r="W751" s="5">
        <v>23076.080000000002</v>
      </c>
      <c r="X751" s="5">
        <f>fin_table[[#This Row],[Interest Rate]]*fin_table[[#This Row],[Loan Amount]]</f>
        <v>872.27582400000006</v>
      </c>
      <c r="Y751">
        <v>19</v>
      </c>
      <c r="Z751" s="3">
        <v>333</v>
      </c>
      <c r="AA751" s="3" t="str">
        <f t="shared" si="81"/>
        <v>Poor</v>
      </c>
      <c r="AB751" s="3" cm="1">
        <f t="array" ref="AB751">_xlfn.IFS(fin_table[[#This Row],[Transaction Status]]="Failed", 1, fin_table[[#This Row],[Transaction Status]]="Completed",0,fin_table[[#This Row],[Transaction Status]]="Pending",2)</f>
        <v>2</v>
      </c>
      <c r="AC751" s="3" t="str">
        <f>IF(fin_table[[#This Row],[Loan Defaulters]]=1,"Default", "Good")</f>
        <v>Good</v>
      </c>
      <c r="AD751" s="3">
        <f t="shared" si="82"/>
        <v>1</v>
      </c>
      <c r="AE751" s="4">
        <v>3817.03</v>
      </c>
      <c r="AF751" s="4" t="str">
        <f>IF(fin_table[[#This Row],[Monthly Income]]&lt;3000, "Low Income", IF(fin_table[[#This Row],[Monthly Income]]&lt;=5000, "Middle Income", "High Income"))</f>
        <v>Middle Income</v>
      </c>
      <c r="AG751" t="s">
        <v>30</v>
      </c>
      <c r="AH751" t="s">
        <v>3636</v>
      </c>
      <c r="AI751" t="str">
        <f t="shared" si="83"/>
        <v>Low-Risk</v>
      </c>
    </row>
    <row r="752" spans="1:35" x14ac:dyDescent="0.35">
      <c r="A752" t="s">
        <v>2767</v>
      </c>
      <c r="B752" t="s">
        <v>2768</v>
      </c>
      <c r="C752" t="s">
        <v>2769</v>
      </c>
      <c r="D752" s="1">
        <v>44764</v>
      </c>
      <c r="E752" s="1" t="str">
        <f t="shared" si="77"/>
        <v>22</v>
      </c>
      <c r="F752" s="1" t="str">
        <f t="shared" si="78"/>
        <v>Jul</v>
      </c>
      <c r="G752" s="6" t="s">
        <v>34</v>
      </c>
      <c r="H752" s="5">
        <v>1566.96</v>
      </c>
      <c r="I752" s="5" t="str">
        <f>IF(fin_table[[#This Row],[Account Balance]]&lt;20000,"Active", "Not Active")</f>
        <v>Active</v>
      </c>
      <c r="J752" s="5">
        <v>3292.51</v>
      </c>
      <c r="K752" s="5" t="str">
        <f t="shared" si="79"/>
        <v>Low</v>
      </c>
      <c r="L752" s="6" t="s">
        <v>100</v>
      </c>
      <c r="M752">
        <v>49</v>
      </c>
      <c r="N752" s="6" t="str">
        <f t="shared" si="80"/>
        <v>Older Adults</v>
      </c>
      <c r="O752" s="6" t="s">
        <v>25</v>
      </c>
      <c r="P752" s="6" t="s">
        <v>50</v>
      </c>
      <c r="Q752" t="s">
        <v>2770</v>
      </c>
      <c r="R752" s="6" t="s">
        <v>52</v>
      </c>
      <c r="S752" s="6" t="s">
        <v>29</v>
      </c>
      <c r="T752" s="14">
        <v>4.5400000000000003E-2</v>
      </c>
      <c r="U752">
        <v>4.54</v>
      </c>
      <c r="V752" t="str">
        <f>IF(fin_table[[#This Row],[Interest Rate(%)]]&gt;4,"high","low")</f>
        <v>high</v>
      </c>
      <c r="W752" s="5">
        <v>26681.654999999999</v>
      </c>
      <c r="X752" s="5">
        <f>fin_table[[#This Row],[Interest Rate]]*fin_table[[#This Row],[Loan Amount]]</f>
        <v>1211.347137</v>
      </c>
      <c r="Y752">
        <v>13</v>
      </c>
      <c r="Z752" s="3">
        <v>797</v>
      </c>
      <c r="AA752" s="3" t="str">
        <f t="shared" si="81"/>
        <v>Very Good</v>
      </c>
      <c r="AB752" s="3" cm="1">
        <f t="array" ref="AB752">_xlfn.IFS(fin_table[[#This Row],[Transaction Status]]="Failed", 1, fin_table[[#This Row],[Transaction Status]]="Completed",0,fin_table[[#This Row],[Transaction Status]]="Pending",2)</f>
        <v>1</v>
      </c>
      <c r="AC752" s="3" t="str">
        <f>IF(fin_table[[#This Row],[Loan Defaulters]]=1,"Default", "Good")</f>
        <v>Default</v>
      </c>
      <c r="AD752" s="3">
        <f t="shared" si="82"/>
        <v>4</v>
      </c>
      <c r="AE752" s="4">
        <v>9584.4</v>
      </c>
      <c r="AF752" s="4" t="str">
        <f>IF(fin_table[[#This Row],[Monthly Income]]&lt;3000, "Low Income", IF(fin_table[[#This Row],[Monthly Income]]&lt;=5000, "Middle Income", "High Income"))</f>
        <v>High Income</v>
      </c>
      <c r="AG752" t="s">
        <v>45</v>
      </c>
      <c r="AH752" t="s">
        <v>3635</v>
      </c>
      <c r="AI752" t="str">
        <f t="shared" si="83"/>
        <v>Low-Risk</v>
      </c>
    </row>
    <row r="753" spans="1:35" x14ac:dyDescent="0.35">
      <c r="A753" t="s">
        <v>2771</v>
      </c>
      <c r="B753" t="s">
        <v>2772</v>
      </c>
      <c r="C753" t="s">
        <v>2773</v>
      </c>
      <c r="D753" s="1">
        <v>45090</v>
      </c>
      <c r="E753" s="1" t="str">
        <f t="shared" si="77"/>
        <v>13</v>
      </c>
      <c r="F753" s="1" t="str">
        <f t="shared" si="78"/>
        <v>Jun</v>
      </c>
      <c r="G753" s="6" t="s">
        <v>23</v>
      </c>
      <c r="H753" s="5">
        <v>6827.54</v>
      </c>
      <c r="I753" s="5" t="str">
        <f>IF(fin_table[[#This Row],[Account Balance]]&lt;20000,"Active", "Not Active")</f>
        <v>Active</v>
      </c>
      <c r="J753" s="5">
        <v>16662.95</v>
      </c>
      <c r="K753" s="5" t="str">
        <f t="shared" si="79"/>
        <v>Medium</v>
      </c>
      <c r="L753" s="6" t="s">
        <v>35</v>
      </c>
      <c r="M753">
        <v>44</v>
      </c>
      <c r="N753" s="6" t="str">
        <f t="shared" si="80"/>
        <v>Middle-Aged</v>
      </c>
      <c r="O753" s="6" t="s">
        <v>42</v>
      </c>
      <c r="P753" s="6" t="s">
        <v>50</v>
      </c>
      <c r="Q753" t="s">
        <v>2774</v>
      </c>
      <c r="R753" s="6" t="s">
        <v>38</v>
      </c>
      <c r="S753" s="6" t="s">
        <v>62</v>
      </c>
      <c r="T753" s="14">
        <v>2.8899999999999999E-2</v>
      </c>
      <c r="U753">
        <v>2.89</v>
      </c>
      <c r="V753" t="str">
        <f>IF(fin_table[[#This Row],[Interest Rate(%)]]&gt;4,"high","low")</f>
        <v>low</v>
      </c>
      <c r="W753" s="5">
        <v>28521.38</v>
      </c>
      <c r="X753" s="5">
        <f>fin_table[[#This Row],[Interest Rate]]*fin_table[[#This Row],[Loan Amount]]</f>
        <v>824.26788199999999</v>
      </c>
      <c r="Y753">
        <v>11</v>
      </c>
      <c r="Z753" s="3">
        <v>815</v>
      </c>
      <c r="AA753" s="3" t="str">
        <f t="shared" si="81"/>
        <v>Excellent</v>
      </c>
      <c r="AB753" s="3" cm="1">
        <f t="array" ref="AB753">_xlfn.IFS(fin_table[[#This Row],[Transaction Status]]="Failed", 1, fin_table[[#This Row],[Transaction Status]]="Completed",0,fin_table[[#This Row],[Transaction Status]]="Pending",2)</f>
        <v>2</v>
      </c>
      <c r="AC753" s="3" t="str">
        <f>IF(fin_table[[#This Row],[Loan Defaulters]]=1,"Default", "Good")</f>
        <v>Good</v>
      </c>
      <c r="AD753" s="3">
        <f t="shared" si="82"/>
        <v>5</v>
      </c>
      <c r="AE753" s="4">
        <v>14805.13</v>
      </c>
      <c r="AF753" s="4" t="str">
        <f>IF(fin_table[[#This Row],[Monthly Income]]&lt;3000, "Low Income", IF(fin_table[[#This Row],[Monthly Income]]&lt;=5000, "Middle Income", "High Income"))</f>
        <v>High Income</v>
      </c>
      <c r="AG753" t="s">
        <v>63</v>
      </c>
      <c r="AH753" t="s">
        <v>3636</v>
      </c>
      <c r="AI753" t="str">
        <f t="shared" si="83"/>
        <v>Low-Risk</v>
      </c>
    </row>
    <row r="754" spans="1:35" x14ac:dyDescent="0.35">
      <c r="A754" t="s">
        <v>2775</v>
      </c>
      <c r="B754" t="s">
        <v>2776</v>
      </c>
      <c r="C754" t="s">
        <v>2777</v>
      </c>
      <c r="D754" s="1">
        <v>44908</v>
      </c>
      <c r="E754" s="1" t="str">
        <f t="shared" si="77"/>
        <v>13</v>
      </c>
      <c r="F754" s="1" t="str">
        <f t="shared" si="78"/>
        <v>Dec</v>
      </c>
      <c r="G754" s="6" t="s">
        <v>34</v>
      </c>
      <c r="H754" s="5">
        <v>2326.41</v>
      </c>
      <c r="I754" s="5" t="str">
        <f>IF(fin_table[[#This Row],[Account Balance]]&lt;20000,"Active", "Not Active")</f>
        <v>Not Active</v>
      </c>
      <c r="J754" s="5">
        <v>22470.66</v>
      </c>
      <c r="K754" s="5" t="str">
        <f t="shared" si="79"/>
        <v>Medium</v>
      </c>
      <c r="L754" s="6" t="s">
        <v>49</v>
      </c>
      <c r="M754">
        <v>45</v>
      </c>
      <c r="N754" s="6" t="str">
        <f t="shared" si="80"/>
        <v>Middle-Aged</v>
      </c>
      <c r="O754" s="6" t="s">
        <v>25</v>
      </c>
      <c r="P754" s="6" t="s">
        <v>50</v>
      </c>
      <c r="Q754" t="s">
        <v>218</v>
      </c>
      <c r="R754" s="6" t="s">
        <v>38</v>
      </c>
      <c r="S754" s="6" t="s">
        <v>29</v>
      </c>
      <c r="T754" s="14">
        <v>2.53E-2</v>
      </c>
      <c r="U754">
        <v>2.5299999999999998</v>
      </c>
      <c r="V754" t="str">
        <f>IF(fin_table[[#This Row],[Interest Rate(%)]]&gt;4,"high","low")</f>
        <v>low</v>
      </c>
      <c r="W754" s="5">
        <v>26681.654999999999</v>
      </c>
      <c r="X754" s="5">
        <f>fin_table[[#This Row],[Interest Rate]]*fin_table[[#This Row],[Loan Amount]]</f>
        <v>675.04587149999998</v>
      </c>
      <c r="Y754">
        <v>13</v>
      </c>
      <c r="Z754" s="3">
        <v>627</v>
      </c>
      <c r="AA754" s="3" t="str">
        <f t="shared" si="81"/>
        <v>Fair</v>
      </c>
      <c r="AB754" s="3" cm="1">
        <f t="array" ref="AB754">_xlfn.IFS(fin_table[[#This Row],[Transaction Status]]="Failed", 1, fin_table[[#This Row],[Transaction Status]]="Completed",0,fin_table[[#This Row],[Transaction Status]]="Pending",2)</f>
        <v>1</v>
      </c>
      <c r="AC754" s="3" t="str">
        <f>IF(fin_table[[#This Row],[Loan Defaulters]]=1,"Default", "Good")</f>
        <v>Default</v>
      </c>
      <c r="AD754" s="3">
        <f t="shared" si="82"/>
        <v>2</v>
      </c>
      <c r="AE754" s="4">
        <v>3251.26</v>
      </c>
      <c r="AF754" s="4" t="str">
        <f>IF(fin_table[[#This Row],[Monthly Income]]&lt;3000, "Low Income", IF(fin_table[[#This Row],[Monthly Income]]&lt;=5000, "Middle Income", "High Income"))</f>
        <v>Middle Income</v>
      </c>
      <c r="AG754" t="s">
        <v>63</v>
      </c>
      <c r="AH754" t="s">
        <v>3635</v>
      </c>
      <c r="AI754" t="str">
        <f t="shared" si="83"/>
        <v>Low-Risk</v>
      </c>
    </row>
    <row r="755" spans="1:35" x14ac:dyDescent="0.35">
      <c r="A755" t="s">
        <v>2778</v>
      </c>
      <c r="B755" t="s">
        <v>2779</v>
      </c>
      <c r="C755" t="s">
        <v>2780</v>
      </c>
      <c r="D755" s="1">
        <v>45096</v>
      </c>
      <c r="E755" s="1" t="str">
        <f t="shared" si="77"/>
        <v>19</v>
      </c>
      <c r="F755" s="1" t="str">
        <f t="shared" si="78"/>
        <v>Jun</v>
      </c>
      <c r="G755" s="6" t="s">
        <v>56</v>
      </c>
      <c r="H755" s="5">
        <v>4370.67</v>
      </c>
      <c r="I755" s="5" t="str">
        <f>IF(fin_table[[#This Row],[Account Balance]]&lt;20000,"Active", "Not Active")</f>
        <v>Not Active</v>
      </c>
      <c r="J755" s="5">
        <v>45063.76</v>
      </c>
      <c r="K755" s="5" t="str">
        <f t="shared" si="79"/>
        <v>Medium</v>
      </c>
      <c r="L755" s="6" t="s">
        <v>100</v>
      </c>
      <c r="M755">
        <v>35</v>
      </c>
      <c r="N755" s="6" t="str">
        <f t="shared" si="80"/>
        <v>Adults</v>
      </c>
      <c r="O755" s="6" t="s">
        <v>25</v>
      </c>
      <c r="P755" s="6" t="s">
        <v>50</v>
      </c>
      <c r="Q755" t="s">
        <v>2781</v>
      </c>
      <c r="R755" s="6" t="s">
        <v>52</v>
      </c>
      <c r="S755" s="6" t="s">
        <v>62</v>
      </c>
      <c r="T755" s="47">
        <v>0.02</v>
      </c>
      <c r="U755">
        <v>0.02</v>
      </c>
      <c r="V755" t="str">
        <f>IF(fin_table[[#This Row],[Interest Rate(%)]]&gt;4,"high","low")</f>
        <v>low</v>
      </c>
      <c r="W755" s="5">
        <v>9372.41</v>
      </c>
      <c r="X755" s="5">
        <f>fin_table[[#This Row],[Interest Rate]]*fin_table[[#This Row],[Loan Amount]]</f>
        <v>187.44820000000001</v>
      </c>
      <c r="Y755">
        <v>13</v>
      </c>
      <c r="Z755" s="3">
        <v>397</v>
      </c>
      <c r="AA755" s="3" t="str">
        <f t="shared" si="81"/>
        <v>Poor</v>
      </c>
      <c r="AB755" s="3" cm="1">
        <f t="array" ref="AB755">_xlfn.IFS(fin_table[[#This Row],[Transaction Status]]="Failed", 1, fin_table[[#This Row],[Transaction Status]]="Completed",0,fin_table[[#This Row],[Transaction Status]]="Pending",2)</f>
        <v>2</v>
      </c>
      <c r="AC755" s="3" t="str">
        <f>IF(fin_table[[#This Row],[Loan Defaulters]]=1,"Default", "Good")</f>
        <v>Good</v>
      </c>
      <c r="AD755" s="3">
        <f t="shared" si="82"/>
        <v>1</v>
      </c>
      <c r="AE755" s="4">
        <v>5714.51</v>
      </c>
      <c r="AF755" s="4" t="str">
        <f>IF(fin_table[[#This Row],[Monthly Income]]&lt;3000, "Low Income", IF(fin_table[[#This Row],[Monthly Income]]&lt;=5000, "Middle Income", "High Income"))</f>
        <v>High Income</v>
      </c>
      <c r="AG755" t="s">
        <v>63</v>
      </c>
      <c r="AH755" t="s">
        <v>3636</v>
      </c>
      <c r="AI755" t="str">
        <f t="shared" si="83"/>
        <v>Low-Risk</v>
      </c>
    </row>
    <row r="756" spans="1:35" x14ac:dyDescent="0.35">
      <c r="A756" t="s">
        <v>2782</v>
      </c>
      <c r="B756" t="s">
        <v>2783</v>
      </c>
      <c r="C756" t="s">
        <v>2784</v>
      </c>
      <c r="D756" s="1">
        <v>45152</v>
      </c>
      <c r="E756" s="1" t="str">
        <f t="shared" si="77"/>
        <v>14</v>
      </c>
      <c r="F756" s="1" t="str">
        <f t="shared" si="78"/>
        <v>Aug</v>
      </c>
      <c r="G756" s="6" t="s">
        <v>56</v>
      </c>
      <c r="H756" s="5">
        <v>7219.68</v>
      </c>
      <c r="I756" s="5" t="str">
        <f>IF(fin_table[[#This Row],[Account Balance]]&lt;20000,"Active", "Not Active")</f>
        <v>Not Active</v>
      </c>
      <c r="J756" s="5">
        <v>48150.81</v>
      </c>
      <c r="K756" s="5" t="str">
        <f t="shared" si="79"/>
        <v>Medium</v>
      </c>
      <c r="L756" s="6" t="s">
        <v>49</v>
      </c>
      <c r="M756">
        <v>56</v>
      </c>
      <c r="N756" s="6" t="str">
        <f t="shared" si="80"/>
        <v>Older Adults</v>
      </c>
      <c r="O756" s="6" t="s">
        <v>42</v>
      </c>
      <c r="P756" s="6" t="s">
        <v>26</v>
      </c>
      <c r="Q756" t="s">
        <v>856</v>
      </c>
      <c r="R756" s="6" t="s">
        <v>52</v>
      </c>
      <c r="S756" s="6" t="s">
        <v>29</v>
      </c>
      <c r="T756" s="14">
        <v>3.4200000000000001E-2</v>
      </c>
      <c r="U756">
        <v>3.42</v>
      </c>
      <c r="V756" t="str">
        <f>IF(fin_table[[#This Row],[Interest Rate(%)]]&gt;4,"high","low")</f>
        <v>low</v>
      </c>
      <c r="W756" s="5">
        <v>26681.654999999999</v>
      </c>
      <c r="X756" s="5">
        <f>fin_table[[#This Row],[Interest Rate]]*fin_table[[#This Row],[Loan Amount]]</f>
        <v>912.51260100000002</v>
      </c>
      <c r="Y756">
        <v>13</v>
      </c>
      <c r="Z756" s="3">
        <v>665</v>
      </c>
      <c r="AA756" s="3" t="str">
        <f t="shared" si="81"/>
        <v>Fair</v>
      </c>
      <c r="AB756" s="3" cm="1">
        <f t="array" ref="AB756">_xlfn.IFS(fin_table[[#This Row],[Transaction Status]]="Failed", 1, fin_table[[#This Row],[Transaction Status]]="Completed",0,fin_table[[#This Row],[Transaction Status]]="Pending",2)</f>
        <v>1</v>
      </c>
      <c r="AC756" s="3" t="str">
        <f>IF(fin_table[[#This Row],[Loan Defaulters]]=1,"Default", "Good")</f>
        <v>Default</v>
      </c>
      <c r="AD756" s="3">
        <f t="shared" si="82"/>
        <v>2</v>
      </c>
      <c r="AE756" s="4">
        <v>13302.97</v>
      </c>
      <c r="AF756" s="4" t="str">
        <f>IF(fin_table[[#This Row],[Monthly Income]]&lt;3000, "Low Income", IF(fin_table[[#This Row],[Monthly Income]]&lt;=5000, "Middle Income", "High Income"))</f>
        <v>High Income</v>
      </c>
      <c r="AG756" t="s">
        <v>45</v>
      </c>
      <c r="AH756" t="s">
        <v>3635</v>
      </c>
      <c r="AI756" t="str">
        <f t="shared" si="83"/>
        <v>Low-Risk</v>
      </c>
    </row>
    <row r="757" spans="1:35" x14ac:dyDescent="0.35">
      <c r="A757" t="s">
        <v>2785</v>
      </c>
      <c r="B757" t="s">
        <v>2786</v>
      </c>
      <c r="C757" t="s">
        <v>2787</v>
      </c>
      <c r="D757" s="1">
        <v>44657</v>
      </c>
      <c r="E757" s="1" t="str">
        <f t="shared" si="77"/>
        <v>06</v>
      </c>
      <c r="F757" s="1" t="str">
        <f t="shared" si="78"/>
        <v>Apr</v>
      </c>
      <c r="G757" s="6" t="s">
        <v>34</v>
      </c>
      <c r="H757" s="5">
        <v>5676.91</v>
      </c>
      <c r="I757" s="5" t="str">
        <f>IF(fin_table[[#This Row],[Account Balance]]&lt;20000,"Active", "Not Active")</f>
        <v>Not Active</v>
      </c>
      <c r="J757" s="5">
        <v>22761.65</v>
      </c>
      <c r="K757" s="5" t="str">
        <f t="shared" si="79"/>
        <v>Medium</v>
      </c>
      <c r="L757" s="6" t="s">
        <v>100</v>
      </c>
      <c r="M757">
        <v>66</v>
      </c>
      <c r="N757" s="6" t="str">
        <f t="shared" si="80"/>
        <v>Seniors</v>
      </c>
      <c r="O757" s="6" t="s">
        <v>42</v>
      </c>
      <c r="P757" s="6" t="s">
        <v>36</v>
      </c>
      <c r="Q757" t="s">
        <v>1995</v>
      </c>
      <c r="R757" s="6" t="s">
        <v>38</v>
      </c>
      <c r="S757" s="6" t="s">
        <v>29</v>
      </c>
      <c r="T757" s="14">
        <v>4.5199999999999997E-2</v>
      </c>
      <c r="U757">
        <v>4.5199999999999996</v>
      </c>
      <c r="V757" t="str">
        <f>IF(fin_table[[#This Row],[Interest Rate(%)]]&gt;4,"high","low")</f>
        <v>high</v>
      </c>
      <c r="W757" s="5">
        <v>35464.980000000003</v>
      </c>
      <c r="X757" s="5">
        <f>fin_table[[#This Row],[Interest Rate]]*fin_table[[#This Row],[Loan Amount]]</f>
        <v>1603.017096</v>
      </c>
      <c r="Y757">
        <v>13</v>
      </c>
      <c r="Z757" s="3">
        <v>762</v>
      </c>
      <c r="AA757" s="3" t="str">
        <f t="shared" si="81"/>
        <v>Very Good</v>
      </c>
      <c r="AB757" s="3" cm="1">
        <f t="array" ref="AB757">_xlfn.IFS(fin_table[[#This Row],[Transaction Status]]="Failed", 1, fin_table[[#This Row],[Transaction Status]]="Completed",0,fin_table[[#This Row],[Transaction Status]]="Pending",2)</f>
        <v>1</v>
      </c>
      <c r="AC757" s="3" t="str">
        <f>IF(fin_table[[#This Row],[Loan Defaulters]]=1,"Default", "Good")</f>
        <v>Default</v>
      </c>
      <c r="AD757" s="3">
        <f t="shared" si="82"/>
        <v>4</v>
      </c>
      <c r="AE757" s="4">
        <v>2939.54</v>
      </c>
      <c r="AF757" s="4" t="str">
        <f>IF(fin_table[[#This Row],[Monthly Income]]&lt;3000, "Low Income", IF(fin_table[[#This Row],[Monthly Income]]&lt;=5000, "Middle Income", "High Income"))</f>
        <v>Low Income</v>
      </c>
      <c r="AG757" t="s">
        <v>63</v>
      </c>
      <c r="AH757" t="s">
        <v>3636</v>
      </c>
      <c r="AI757" t="str">
        <f t="shared" si="83"/>
        <v>Low-Risk</v>
      </c>
    </row>
    <row r="758" spans="1:35" x14ac:dyDescent="0.35">
      <c r="A758" t="s">
        <v>2788</v>
      </c>
      <c r="B758" t="s">
        <v>2789</v>
      </c>
      <c r="C758" t="s">
        <v>2790</v>
      </c>
      <c r="D758" s="1">
        <v>45072</v>
      </c>
      <c r="E758" s="1" t="str">
        <f t="shared" si="77"/>
        <v>26</v>
      </c>
      <c r="F758" s="1" t="str">
        <f t="shared" si="78"/>
        <v>May</v>
      </c>
      <c r="G758" s="6" t="s">
        <v>56</v>
      </c>
      <c r="H758" s="5">
        <v>4332.2700000000004</v>
      </c>
      <c r="I758" s="5" t="str">
        <f>IF(fin_table[[#This Row],[Account Balance]]&lt;20000,"Active", "Not Active")</f>
        <v>Not Active</v>
      </c>
      <c r="J758" s="5">
        <v>37751.39</v>
      </c>
      <c r="K758" s="5" t="str">
        <f t="shared" si="79"/>
        <v>Medium</v>
      </c>
      <c r="L758" s="6" t="s">
        <v>125</v>
      </c>
      <c r="M758">
        <v>46</v>
      </c>
      <c r="N758" s="6" t="str">
        <f t="shared" si="80"/>
        <v>Older Adults</v>
      </c>
      <c r="O758" s="6" t="s">
        <v>25</v>
      </c>
      <c r="P758" s="6" t="s">
        <v>50</v>
      </c>
      <c r="Q758" t="s">
        <v>206</v>
      </c>
      <c r="R758" s="6" t="s">
        <v>52</v>
      </c>
      <c r="S758" s="6" t="s">
        <v>44</v>
      </c>
      <c r="T758" s="14">
        <v>2.3E-2</v>
      </c>
      <c r="U758">
        <v>2.3E-2</v>
      </c>
      <c r="V758" t="str">
        <f>IF(fin_table[[#This Row],[Interest Rate(%)]]&gt;4,"high","low")</f>
        <v>low</v>
      </c>
      <c r="W758" s="5">
        <v>26681.654999999999</v>
      </c>
      <c r="X758" s="5">
        <f>fin_table[[#This Row],[Interest Rate]]*fin_table[[#This Row],[Loan Amount]]</f>
        <v>613.67806499999995</v>
      </c>
      <c r="Y758">
        <v>18</v>
      </c>
      <c r="Z758" s="3">
        <v>327</v>
      </c>
      <c r="AA758" s="3" t="str">
        <f t="shared" si="81"/>
        <v>Poor</v>
      </c>
      <c r="AB758" s="3" cm="1">
        <f t="array" ref="AB758">_xlfn.IFS(fin_table[[#This Row],[Transaction Status]]="Failed", 1, fin_table[[#This Row],[Transaction Status]]="Completed",0,fin_table[[#This Row],[Transaction Status]]="Pending",2)</f>
        <v>0</v>
      </c>
      <c r="AC758" s="3" t="str">
        <f>IF(fin_table[[#This Row],[Loan Defaulters]]=1,"Default", "Good")</f>
        <v>Good</v>
      </c>
      <c r="AD758" s="3">
        <f t="shared" si="82"/>
        <v>1</v>
      </c>
      <c r="AE758" s="4">
        <v>13386.51</v>
      </c>
      <c r="AF758" s="4" t="str">
        <f>IF(fin_table[[#This Row],[Monthly Income]]&lt;3000, "Low Income", IF(fin_table[[#This Row],[Monthly Income]]&lt;=5000, "Middle Income", "High Income"))</f>
        <v>High Income</v>
      </c>
      <c r="AG758" t="s">
        <v>45</v>
      </c>
      <c r="AH758" t="s">
        <v>3635</v>
      </c>
      <c r="AI758" t="str">
        <f t="shared" si="83"/>
        <v>Low-Risk</v>
      </c>
    </row>
    <row r="759" spans="1:35" x14ac:dyDescent="0.35">
      <c r="A759" t="s">
        <v>2791</v>
      </c>
      <c r="B759" t="s">
        <v>2792</v>
      </c>
      <c r="C759" t="s">
        <v>2793</v>
      </c>
      <c r="D759" s="1">
        <v>45031</v>
      </c>
      <c r="E759" s="1" t="str">
        <f t="shared" si="77"/>
        <v>15</v>
      </c>
      <c r="F759" s="1" t="str">
        <f t="shared" si="78"/>
        <v>Apr</v>
      </c>
      <c r="G759" s="6" t="s">
        <v>71</v>
      </c>
      <c r="H759" s="5">
        <v>3330.75</v>
      </c>
      <c r="I759" s="5" t="str">
        <f>IF(fin_table[[#This Row],[Account Balance]]&lt;20000,"Active", "Not Active")</f>
        <v>Not Active</v>
      </c>
      <c r="J759" s="5">
        <v>27051.39</v>
      </c>
      <c r="K759" s="5" t="str">
        <f t="shared" si="79"/>
        <v>Medium</v>
      </c>
      <c r="L759" s="6" t="s">
        <v>24</v>
      </c>
      <c r="M759">
        <v>35</v>
      </c>
      <c r="N759" s="6" t="str">
        <f t="shared" si="80"/>
        <v>Adults</v>
      </c>
      <c r="O759" s="6" t="s">
        <v>42</v>
      </c>
      <c r="P759" s="6" t="s">
        <v>50</v>
      </c>
      <c r="Q759" t="s">
        <v>2794</v>
      </c>
      <c r="R759" s="6" t="s">
        <v>28</v>
      </c>
      <c r="S759" s="6" t="s">
        <v>44</v>
      </c>
      <c r="T759" s="14">
        <v>2.58E-2</v>
      </c>
      <c r="U759">
        <v>2.58</v>
      </c>
      <c r="V759" t="str">
        <f>IF(fin_table[[#This Row],[Interest Rate(%)]]&gt;4,"high","low")</f>
        <v>low</v>
      </c>
      <c r="W759" s="5">
        <v>49059.65</v>
      </c>
      <c r="X759" s="5">
        <f>fin_table[[#This Row],[Interest Rate]]*fin_table[[#This Row],[Loan Amount]]</f>
        <v>1265.7389700000001</v>
      </c>
      <c r="Y759">
        <v>13</v>
      </c>
      <c r="Z759" s="3">
        <v>685</v>
      </c>
      <c r="AA759" s="3" t="str">
        <f t="shared" si="81"/>
        <v>Good</v>
      </c>
      <c r="AB759" s="3" cm="1">
        <f t="array" ref="AB759">_xlfn.IFS(fin_table[[#This Row],[Transaction Status]]="Failed", 1, fin_table[[#This Row],[Transaction Status]]="Completed",0,fin_table[[#This Row],[Transaction Status]]="Pending",2)</f>
        <v>0</v>
      </c>
      <c r="AC759" s="3" t="str">
        <f>IF(fin_table[[#This Row],[Loan Defaulters]]=1,"Default", "Good")</f>
        <v>Good</v>
      </c>
      <c r="AD759" s="3">
        <f t="shared" si="82"/>
        <v>3</v>
      </c>
      <c r="AE759" s="4">
        <v>8815.7199999999993</v>
      </c>
      <c r="AF759" s="4" t="str">
        <f>IF(fin_table[[#This Row],[Monthly Income]]&lt;3000, "Low Income", IF(fin_table[[#This Row],[Monthly Income]]&lt;=5000, "Middle Income", "High Income"))</f>
        <v>High Income</v>
      </c>
      <c r="AG759" t="s">
        <v>45</v>
      </c>
      <c r="AH759" t="s">
        <v>3636</v>
      </c>
      <c r="AI759" t="str">
        <f t="shared" si="83"/>
        <v>Low-Risk</v>
      </c>
    </row>
    <row r="760" spans="1:35" x14ac:dyDescent="0.35">
      <c r="A760" t="s">
        <v>2795</v>
      </c>
      <c r="B760" t="s">
        <v>2796</v>
      </c>
      <c r="C760" t="s">
        <v>2797</v>
      </c>
      <c r="D760" s="1">
        <v>44978</v>
      </c>
      <c r="E760" s="1" t="str">
        <f t="shared" si="77"/>
        <v>21</v>
      </c>
      <c r="F760" s="1" t="str">
        <f t="shared" si="78"/>
        <v>Feb</v>
      </c>
      <c r="G760" s="6" t="s">
        <v>23</v>
      </c>
      <c r="H760" s="5">
        <v>8412.6299999999992</v>
      </c>
      <c r="I760" s="5" t="str">
        <f>IF(fin_table[[#This Row],[Account Balance]]&lt;20000,"Active", "Not Active")</f>
        <v>Not Active</v>
      </c>
      <c r="J760" s="5">
        <v>27351.360000000001</v>
      </c>
      <c r="K760" s="5" t="str">
        <f t="shared" si="79"/>
        <v>Medium</v>
      </c>
      <c r="L760" s="6" t="s">
        <v>49</v>
      </c>
      <c r="M760">
        <v>61</v>
      </c>
      <c r="N760" s="6" t="str">
        <f t="shared" si="80"/>
        <v>Seniors</v>
      </c>
      <c r="O760" s="6" t="s">
        <v>25</v>
      </c>
      <c r="P760" s="6" t="s">
        <v>50</v>
      </c>
      <c r="Q760" t="s">
        <v>2798</v>
      </c>
      <c r="R760" s="6" t="s">
        <v>28</v>
      </c>
      <c r="S760" s="6" t="s">
        <v>44</v>
      </c>
      <c r="T760" s="14">
        <v>2.63E-2</v>
      </c>
      <c r="U760">
        <v>2.63</v>
      </c>
      <c r="V760" t="str">
        <f>IF(fin_table[[#This Row],[Interest Rate(%)]]&gt;4,"high","low")</f>
        <v>low</v>
      </c>
      <c r="W760" s="5">
        <v>26681.654999999999</v>
      </c>
      <c r="X760" s="5">
        <f>fin_table[[#This Row],[Interest Rate]]*fin_table[[#This Row],[Loan Amount]]</f>
        <v>701.72752649999995</v>
      </c>
      <c r="Y760">
        <v>13</v>
      </c>
      <c r="Z760" s="3">
        <v>572</v>
      </c>
      <c r="AA760" s="3" t="str">
        <f t="shared" si="81"/>
        <v>Poor</v>
      </c>
      <c r="AB760" s="3" cm="1">
        <f t="array" ref="AB760">_xlfn.IFS(fin_table[[#This Row],[Transaction Status]]="Failed", 1, fin_table[[#This Row],[Transaction Status]]="Completed",0,fin_table[[#This Row],[Transaction Status]]="Pending",2)</f>
        <v>0</v>
      </c>
      <c r="AC760" s="3" t="str">
        <f>IF(fin_table[[#This Row],[Loan Defaulters]]=1,"Default", "Good")</f>
        <v>Good</v>
      </c>
      <c r="AD760" s="3">
        <f t="shared" si="82"/>
        <v>1</v>
      </c>
      <c r="AE760" s="4">
        <v>7307.47</v>
      </c>
      <c r="AF760" s="4" t="str">
        <f>IF(fin_table[[#This Row],[Monthly Income]]&lt;3000, "Low Income", IF(fin_table[[#This Row],[Monthly Income]]&lt;=5000, "Middle Income", "High Income"))</f>
        <v>High Income</v>
      </c>
      <c r="AG760" t="s">
        <v>45</v>
      </c>
      <c r="AH760" t="s">
        <v>3635</v>
      </c>
      <c r="AI760" t="str">
        <f t="shared" si="83"/>
        <v>Low-Risk</v>
      </c>
    </row>
    <row r="761" spans="1:35" x14ac:dyDescent="0.35">
      <c r="A761" t="s">
        <v>2799</v>
      </c>
      <c r="B761" t="s">
        <v>2800</v>
      </c>
      <c r="C761" t="s">
        <v>2801</v>
      </c>
      <c r="D761" s="1">
        <v>44886</v>
      </c>
      <c r="E761" s="1" t="str">
        <f t="shared" si="77"/>
        <v>21</v>
      </c>
      <c r="F761" s="1" t="str">
        <f t="shared" si="78"/>
        <v>Nov</v>
      </c>
      <c r="G761" s="6" t="s">
        <v>71</v>
      </c>
      <c r="H761" s="5">
        <v>1523.76</v>
      </c>
      <c r="I761" s="5" t="str">
        <f>IF(fin_table[[#This Row],[Account Balance]]&lt;20000,"Active", "Not Active")</f>
        <v>Active</v>
      </c>
      <c r="J761" s="5">
        <v>14626.88</v>
      </c>
      <c r="K761" s="5" t="str">
        <f t="shared" si="79"/>
        <v>Medium</v>
      </c>
      <c r="L761" s="6" t="s">
        <v>35</v>
      </c>
      <c r="M761">
        <v>25</v>
      </c>
      <c r="N761" s="6" t="str">
        <f t="shared" si="80"/>
        <v>Young Adults</v>
      </c>
      <c r="O761" s="6" t="s">
        <v>42</v>
      </c>
      <c r="P761" s="6" t="s">
        <v>36</v>
      </c>
      <c r="Q761" t="s">
        <v>2802</v>
      </c>
      <c r="R761" s="6" t="s">
        <v>38</v>
      </c>
      <c r="S761" s="6" t="s">
        <v>44</v>
      </c>
      <c r="T761" s="14">
        <v>3.2399999999999998E-2</v>
      </c>
      <c r="U761">
        <v>3.24</v>
      </c>
      <c r="V761" t="str">
        <f>IF(fin_table[[#This Row],[Interest Rate(%)]]&gt;4,"high","low")</f>
        <v>low</v>
      </c>
      <c r="W761" s="5">
        <v>27195.96</v>
      </c>
      <c r="X761" s="5">
        <f>fin_table[[#This Row],[Interest Rate]]*fin_table[[#This Row],[Loan Amount]]</f>
        <v>881.14910399999997</v>
      </c>
      <c r="Y761">
        <v>1</v>
      </c>
      <c r="Z761" s="3">
        <v>426</v>
      </c>
      <c r="AA761" s="3" t="str">
        <f t="shared" si="81"/>
        <v>Poor</v>
      </c>
      <c r="AB761" s="3" cm="1">
        <f t="array" ref="AB761">_xlfn.IFS(fin_table[[#This Row],[Transaction Status]]="Failed", 1, fin_table[[#This Row],[Transaction Status]]="Completed",0,fin_table[[#This Row],[Transaction Status]]="Pending",2)</f>
        <v>0</v>
      </c>
      <c r="AC761" s="3" t="str">
        <f>IF(fin_table[[#This Row],[Loan Defaulters]]=1,"Default", "Good")</f>
        <v>Good</v>
      </c>
      <c r="AD761" s="3">
        <f t="shared" si="82"/>
        <v>1</v>
      </c>
      <c r="AE761" s="4">
        <v>6025.85</v>
      </c>
      <c r="AF761" s="4" t="str">
        <f>IF(fin_table[[#This Row],[Monthly Income]]&lt;3000, "Low Income", IF(fin_table[[#This Row],[Monthly Income]]&lt;=5000, "Middle Income", "High Income"))</f>
        <v>High Income</v>
      </c>
      <c r="AG761" t="s">
        <v>30</v>
      </c>
      <c r="AH761" t="s">
        <v>3636</v>
      </c>
      <c r="AI761" t="str">
        <f t="shared" si="83"/>
        <v>Low-Risk</v>
      </c>
    </row>
    <row r="762" spans="1:35" x14ac:dyDescent="0.35">
      <c r="A762" t="s">
        <v>2803</v>
      </c>
      <c r="B762" t="s">
        <v>2804</v>
      </c>
      <c r="C762" t="s">
        <v>2805</v>
      </c>
      <c r="D762" s="1">
        <v>45122</v>
      </c>
      <c r="E762" s="1" t="str">
        <f t="shared" si="77"/>
        <v>15</v>
      </c>
      <c r="F762" s="1" t="str">
        <f t="shared" si="78"/>
        <v>Jul</v>
      </c>
      <c r="G762" s="6" t="s">
        <v>23</v>
      </c>
      <c r="H762" s="5">
        <v>4358.0200000000004</v>
      </c>
      <c r="I762" s="5" t="str">
        <f>IF(fin_table[[#This Row],[Account Balance]]&lt;20000,"Active", "Not Active")</f>
        <v>Active</v>
      </c>
      <c r="J762" s="5">
        <v>11630.86</v>
      </c>
      <c r="K762" s="5" t="str">
        <f t="shared" si="79"/>
        <v>Medium</v>
      </c>
      <c r="L762" s="6" t="s">
        <v>125</v>
      </c>
      <c r="M762">
        <v>48</v>
      </c>
      <c r="N762" s="6" t="str">
        <f t="shared" si="80"/>
        <v>Older Adults</v>
      </c>
      <c r="O762" s="6" t="s">
        <v>42</v>
      </c>
      <c r="P762" s="6" t="s">
        <v>50</v>
      </c>
      <c r="Q762" t="s">
        <v>864</v>
      </c>
      <c r="R762" s="6" t="s">
        <v>38</v>
      </c>
      <c r="S762" s="6" t="s">
        <v>29</v>
      </c>
      <c r="T762" s="14">
        <v>1.9099999999999999E-2</v>
      </c>
      <c r="U762">
        <v>1.91</v>
      </c>
      <c r="V762" t="str">
        <f>IF(fin_table[[#This Row],[Interest Rate(%)]]&gt;4,"high","low")</f>
        <v>low</v>
      </c>
      <c r="W762" s="5">
        <v>43579.75</v>
      </c>
      <c r="X762" s="5">
        <f>fin_table[[#This Row],[Interest Rate]]*fin_table[[#This Row],[Loan Amount]]</f>
        <v>832.37322499999993</v>
      </c>
      <c r="Y762">
        <v>13</v>
      </c>
      <c r="Z762" s="3">
        <v>501</v>
      </c>
      <c r="AA762" s="3" t="str">
        <f t="shared" si="81"/>
        <v>Poor</v>
      </c>
      <c r="AB762" s="3" cm="1">
        <f t="array" ref="AB762">_xlfn.IFS(fin_table[[#This Row],[Transaction Status]]="Failed", 1, fin_table[[#This Row],[Transaction Status]]="Completed",0,fin_table[[#This Row],[Transaction Status]]="Pending",2)</f>
        <v>1</v>
      </c>
      <c r="AC762" s="3" t="str">
        <f>IF(fin_table[[#This Row],[Loan Defaulters]]=1,"Default", "Good")</f>
        <v>Default</v>
      </c>
      <c r="AD762" s="3">
        <f t="shared" si="82"/>
        <v>1</v>
      </c>
      <c r="AE762" s="4">
        <v>5862.52</v>
      </c>
      <c r="AF762" s="4" t="str">
        <f>IF(fin_table[[#This Row],[Monthly Income]]&lt;3000, "Low Income", IF(fin_table[[#This Row],[Monthly Income]]&lt;=5000, "Middle Income", "High Income"))</f>
        <v>High Income</v>
      </c>
      <c r="AG762" t="s">
        <v>30</v>
      </c>
      <c r="AH762" t="s">
        <v>3636</v>
      </c>
      <c r="AI762" t="str">
        <f t="shared" si="83"/>
        <v>High-Risk</v>
      </c>
    </row>
    <row r="763" spans="1:35" x14ac:dyDescent="0.35">
      <c r="A763" t="s">
        <v>2806</v>
      </c>
      <c r="B763" t="s">
        <v>2807</v>
      </c>
      <c r="C763" t="s">
        <v>2808</v>
      </c>
      <c r="D763" s="1">
        <v>44852</v>
      </c>
      <c r="E763" s="1" t="str">
        <f t="shared" si="77"/>
        <v>18</v>
      </c>
      <c r="F763" s="1" t="str">
        <f t="shared" si="78"/>
        <v>Oct</v>
      </c>
      <c r="G763" s="6" t="s">
        <v>34</v>
      </c>
      <c r="H763" s="5">
        <v>9047.2000000000007</v>
      </c>
      <c r="I763" s="5" t="str">
        <f>IF(fin_table[[#This Row],[Account Balance]]&lt;20000,"Active", "Not Active")</f>
        <v>Active</v>
      </c>
      <c r="J763" s="5">
        <v>15112.26</v>
      </c>
      <c r="K763" s="5" t="str">
        <f t="shared" si="79"/>
        <v>Medium</v>
      </c>
      <c r="L763" s="6" t="s">
        <v>100</v>
      </c>
      <c r="M763">
        <v>51</v>
      </c>
      <c r="N763" s="6" t="str">
        <f t="shared" si="80"/>
        <v>Older Adults</v>
      </c>
      <c r="O763" s="6" t="s">
        <v>25</v>
      </c>
      <c r="P763" s="6" t="s">
        <v>36</v>
      </c>
      <c r="Q763" t="s">
        <v>1029</v>
      </c>
      <c r="R763" s="6" t="s">
        <v>52</v>
      </c>
      <c r="S763" s="6" t="s">
        <v>62</v>
      </c>
      <c r="T763" s="14">
        <v>4.2900000000000001E-2</v>
      </c>
      <c r="U763">
        <v>4.29</v>
      </c>
      <c r="V763" t="str">
        <f>IF(fin_table[[#This Row],[Interest Rate(%)]]&gt;4,"high","low")</f>
        <v>high</v>
      </c>
      <c r="W763" s="5">
        <v>26681.654999999999</v>
      </c>
      <c r="X763" s="5">
        <f>fin_table[[#This Row],[Interest Rate]]*fin_table[[#This Row],[Loan Amount]]</f>
        <v>1144.6429994999999</v>
      </c>
      <c r="Y763">
        <v>9</v>
      </c>
      <c r="Z763" s="3">
        <v>820</v>
      </c>
      <c r="AA763" s="3" t="str">
        <f t="shared" si="81"/>
        <v>Excellent</v>
      </c>
      <c r="AB763" s="3" cm="1">
        <f t="array" ref="AB763">_xlfn.IFS(fin_table[[#This Row],[Transaction Status]]="Failed", 1, fin_table[[#This Row],[Transaction Status]]="Completed",0,fin_table[[#This Row],[Transaction Status]]="Pending",2)</f>
        <v>2</v>
      </c>
      <c r="AC763" s="3" t="str">
        <f>IF(fin_table[[#This Row],[Loan Defaulters]]=1,"Default", "Good")</f>
        <v>Good</v>
      </c>
      <c r="AD763" s="3">
        <f t="shared" si="82"/>
        <v>5</v>
      </c>
      <c r="AE763" s="4">
        <v>5975.43</v>
      </c>
      <c r="AF763" s="4" t="str">
        <f>IF(fin_table[[#This Row],[Monthly Income]]&lt;3000, "Low Income", IF(fin_table[[#This Row],[Monthly Income]]&lt;=5000, "Middle Income", "High Income"))</f>
        <v>High Income</v>
      </c>
      <c r="AG763" t="s">
        <v>45</v>
      </c>
      <c r="AH763" t="s">
        <v>3635</v>
      </c>
      <c r="AI763" t="str">
        <f t="shared" si="83"/>
        <v>Low-Risk</v>
      </c>
    </row>
    <row r="764" spans="1:35" x14ac:dyDescent="0.35">
      <c r="A764" t="s">
        <v>2809</v>
      </c>
      <c r="B764" t="s">
        <v>2810</v>
      </c>
      <c r="C764" t="s">
        <v>2811</v>
      </c>
      <c r="D764" s="1">
        <v>44784</v>
      </c>
      <c r="E764" s="1" t="str">
        <f t="shared" si="77"/>
        <v>11</v>
      </c>
      <c r="F764" s="1" t="str">
        <f t="shared" si="78"/>
        <v>Aug</v>
      </c>
      <c r="G764" s="6" t="s">
        <v>71</v>
      </c>
      <c r="H764" s="5">
        <v>8473.91</v>
      </c>
      <c r="I764" s="5" t="str">
        <f>IF(fin_table[[#This Row],[Account Balance]]&lt;20000,"Active", "Not Active")</f>
        <v>Not Active</v>
      </c>
      <c r="J764" s="5">
        <v>28260.07</v>
      </c>
      <c r="K764" s="5" t="str">
        <f t="shared" si="79"/>
        <v>Medium</v>
      </c>
      <c r="L764" s="6" t="s">
        <v>49</v>
      </c>
      <c r="M764">
        <v>24</v>
      </c>
      <c r="N764" s="6" t="str">
        <f t="shared" si="80"/>
        <v>Young Adults</v>
      </c>
      <c r="O764" s="6" t="s">
        <v>25</v>
      </c>
      <c r="P764" s="6" t="s">
        <v>26</v>
      </c>
      <c r="Q764" t="s">
        <v>894</v>
      </c>
      <c r="R764" s="6" t="s">
        <v>52</v>
      </c>
      <c r="S764" s="6" t="s">
        <v>29</v>
      </c>
      <c r="T764" s="14">
        <v>2.18E-2</v>
      </c>
      <c r="U764">
        <v>2.1800000000000002</v>
      </c>
      <c r="V764" t="str">
        <f>IF(fin_table[[#This Row],[Interest Rate(%)]]&gt;4,"high","low")</f>
        <v>low</v>
      </c>
      <c r="W764" s="5">
        <v>25218.31</v>
      </c>
      <c r="X764" s="5">
        <f>fin_table[[#This Row],[Interest Rate]]*fin_table[[#This Row],[Loan Amount]]</f>
        <v>549.75915800000007</v>
      </c>
      <c r="Y764">
        <v>23</v>
      </c>
      <c r="Z764" s="3">
        <v>586</v>
      </c>
      <c r="AA764" s="3" t="str">
        <f t="shared" si="81"/>
        <v>Fair</v>
      </c>
      <c r="AB764" s="3" cm="1">
        <f t="array" ref="AB764">_xlfn.IFS(fin_table[[#This Row],[Transaction Status]]="Failed", 1, fin_table[[#This Row],[Transaction Status]]="Completed",0,fin_table[[#This Row],[Transaction Status]]="Pending",2)</f>
        <v>1</v>
      </c>
      <c r="AC764" s="3" t="str">
        <f>IF(fin_table[[#This Row],[Loan Defaulters]]=1,"Default", "Good")</f>
        <v>Default</v>
      </c>
      <c r="AD764" s="3">
        <f t="shared" si="82"/>
        <v>2</v>
      </c>
      <c r="AE764" s="4">
        <v>13502.44</v>
      </c>
      <c r="AF764" s="4" t="str">
        <f>IF(fin_table[[#This Row],[Monthly Income]]&lt;3000, "Low Income", IF(fin_table[[#This Row],[Monthly Income]]&lt;=5000, "Middle Income", "High Income"))</f>
        <v>High Income</v>
      </c>
      <c r="AG764" t="s">
        <v>45</v>
      </c>
      <c r="AH764" t="s">
        <v>3636</v>
      </c>
      <c r="AI764" t="str">
        <f t="shared" si="83"/>
        <v>Low-Risk</v>
      </c>
    </row>
    <row r="765" spans="1:35" x14ac:dyDescent="0.35">
      <c r="A765" t="s">
        <v>2812</v>
      </c>
      <c r="B765" t="s">
        <v>2813</v>
      </c>
      <c r="C765" t="s">
        <v>2814</v>
      </c>
      <c r="D765" s="1">
        <v>44562</v>
      </c>
      <c r="E765" s="1" t="str">
        <f t="shared" si="77"/>
        <v>01</v>
      </c>
      <c r="F765" s="1" t="str">
        <f t="shared" si="78"/>
        <v>Jan</v>
      </c>
      <c r="G765" s="6" t="s">
        <v>34</v>
      </c>
      <c r="H765" s="5">
        <v>4069.32</v>
      </c>
      <c r="I765" s="5" t="str">
        <f>IF(fin_table[[#This Row],[Account Balance]]&lt;20000,"Active", "Not Active")</f>
        <v>Active</v>
      </c>
      <c r="J765" s="5">
        <v>2428.6</v>
      </c>
      <c r="K765" s="5" t="str">
        <f t="shared" si="79"/>
        <v>Low</v>
      </c>
      <c r="L765" s="6" t="s">
        <v>100</v>
      </c>
      <c r="M765">
        <v>53</v>
      </c>
      <c r="N765" s="6" t="str">
        <f t="shared" si="80"/>
        <v>Older Adults</v>
      </c>
      <c r="O765" s="6" t="s">
        <v>25</v>
      </c>
      <c r="P765" s="6" t="s">
        <v>26</v>
      </c>
      <c r="Q765" t="s">
        <v>860</v>
      </c>
      <c r="R765" s="6" t="s">
        <v>38</v>
      </c>
      <c r="S765" s="6" t="s">
        <v>44</v>
      </c>
      <c r="T765" s="14">
        <v>3.8199999999999998E-2</v>
      </c>
      <c r="U765">
        <v>3.82</v>
      </c>
      <c r="V765" t="str">
        <f>IF(fin_table[[#This Row],[Interest Rate(%)]]&gt;4,"high","low")</f>
        <v>low</v>
      </c>
      <c r="W765" s="5">
        <v>17919.91</v>
      </c>
      <c r="X765" s="5">
        <f>fin_table[[#This Row],[Interest Rate]]*fin_table[[#This Row],[Loan Amount]]</f>
        <v>684.54056199999991</v>
      </c>
      <c r="Y765">
        <v>11</v>
      </c>
      <c r="Z765" s="3">
        <v>749</v>
      </c>
      <c r="AA765" s="3" t="str">
        <f t="shared" si="81"/>
        <v>Very Good</v>
      </c>
      <c r="AB765" s="3" cm="1">
        <f t="array" ref="AB765">_xlfn.IFS(fin_table[[#This Row],[Transaction Status]]="Failed", 1, fin_table[[#This Row],[Transaction Status]]="Completed",0,fin_table[[#This Row],[Transaction Status]]="Pending",2)</f>
        <v>0</v>
      </c>
      <c r="AC765" s="3" t="str">
        <f>IF(fin_table[[#This Row],[Loan Defaulters]]=1,"Default", "Good")</f>
        <v>Good</v>
      </c>
      <c r="AD765" s="3">
        <f t="shared" si="82"/>
        <v>4</v>
      </c>
      <c r="AE765" s="4">
        <v>11409.34</v>
      </c>
      <c r="AF765" s="4" t="str">
        <f>IF(fin_table[[#This Row],[Monthly Income]]&lt;3000, "Low Income", IF(fin_table[[#This Row],[Monthly Income]]&lt;=5000, "Middle Income", "High Income"))</f>
        <v>High Income</v>
      </c>
      <c r="AG765" t="s">
        <v>30</v>
      </c>
      <c r="AH765" t="s">
        <v>3636</v>
      </c>
      <c r="AI765" t="str">
        <f t="shared" si="83"/>
        <v>Low-Risk</v>
      </c>
    </row>
    <row r="766" spans="1:35" x14ac:dyDescent="0.35">
      <c r="A766" t="s">
        <v>2815</v>
      </c>
      <c r="B766" t="s">
        <v>2816</v>
      </c>
      <c r="C766" t="s">
        <v>2817</v>
      </c>
      <c r="D766" s="1">
        <v>44929</v>
      </c>
      <c r="E766" s="1" t="str">
        <f t="shared" si="77"/>
        <v>03</v>
      </c>
      <c r="F766" s="1" t="str">
        <f t="shared" si="78"/>
        <v>Jan</v>
      </c>
      <c r="G766" s="6" t="s">
        <v>34</v>
      </c>
      <c r="H766" s="5">
        <v>7654.77</v>
      </c>
      <c r="I766" s="5" t="str">
        <f>IF(fin_table[[#This Row],[Account Balance]]&lt;20000,"Active", "Not Active")</f>
        <v>Not Active</v>
      </c>
      <c r="J766" s="5">
        <v>45455.199999999997</v>
      </c>
      <c r="K766" s="5" t="str">
        <f t="shared" si="79"/>
        <v>Medium</v>
      </c>
      <c r="L766" s="6" t="s">
        <v>100</v>
      </c>
      <c r="M766">
        <v>35</v>
      </c>
      <c r="N766" s="6" t="str">
        <f t="shared" si="80"/>
        <v>Adults</v>
      </c>
      <c r="O766" s="6" t="s">
        <v>42</v>
      </c>
      <c r="P766" s="6" t="s">
        <v>26</v>
      </c>
      <c r="Q766" t="s">
        <v>2818</v>
      </c>
      <c r="R766" s="6" t="s">
        <v>38</v>
      </c>
      <c r="S766" s="6" t="s">
        <v>44</v>
      </c>
      <c r="T766" s="14">
        <v>3.0499999999999999E-2</v>
      </c>
      <c r="U766">
        <v>3.05</v>
      </c>
      <c r="V766" t="str">
        <f>IF(fin_table[[#This Row],[Interest Rate(%)]]&gt;4,"high","low")</f>
        <v>low</v>
      </c>
      <c r="W766" s="5">
        <v>9708.7000000000007</v>
      </c>
      <c r="X766" s="5">
        <f>fin_table[[#This Row],[Interest Rate]]*fin_table[[#This Row],[Loan Amount]]</f>
        <v>296.11535000000003</v>
      </c>
      <c r="Y766">
        <v>13</v>
      </c>
      <c r="Z766" s="3">
        <v>387</v>
      </c>
      <c r="AA766" s="3" t="str">
        <f t="shared" si="81"/>
        <v>Poor</v>
      </c>
      <c r="AB766" s="3" cm="1">
        <f t="array" ref="AB766">_xlfn.IFS(fin_table[[#This Row],[Transaction Status]]="Failed", 1, fin_table[[#This Row],[Transaction Status]]="Completed",0,fin_table[[#This Row],[Transaction Status]]="Pending",2)</f>
        <v>0</v>
      </c>
      <c r="AC766" s="3" t="str">
        <f>IF(fin_table[[#This Row],[Loan Defaulters]]=1,"Default", "Good")</f>
        <v>Good</v>
      </c>
      <c r="AD766" s="3">
        <f t="shared" si="82"/>
        <v>1</v>
      </c>
      <c r="AE766" s="4">
        <v>10706.4</v>
      </c>
      <c r="AF766" s="4" t="str">
        <f>IF(fin_table[[#This Row],[Monthly Income]]&lt;3000, "Low Income", IF(fin_table[[#This Row],[Monthly Income]]&lt;=5000, "Middle Income", "High Income"))</f>
        <v>High Income</v>
      </c>
      <c r="AG766" t="s">
        <v>30</v>
      </c>
      <c r="AH766" t="s">
        <v>3636</v>
      </c>
      <c r="AI766" t="str">
        <f t="shared" si="83"/>
        <v>Low-Risk</v>
      </c>
    </row>
    <row r="767" spans="1:35" x14ac:dyDescent="0.35">
      <c r="A767" t="s">
        <v>2819</v>
      </c>
      <c r="B767" t="s">
        <v>2820</v>
      </c>
      <c r="C767" t="s">
        <v>2821</v>
      </c>
      <c r="D767" s="1">
        <v>44819</v>
      </c>
      <c r="E767" s="1" t="str">
        <f t="shared" si="77"/>
        <v>15</v>
      </c>
      <c r="F767" s="1" t="str">
        <f t="shared" si="78"/>
        <v>Sep</v>
      </c>
      <c r="G767" s="6" t="s">
        <v>23</v>
      </c>
      <c r="H767" s="5">
        <v>8249.2900000000009</v>
      </c>
      <c r="I767" s="5" t="str">
        <f>IF(fin_table[[#This Row],[Account Balance]]&lt;20000,"Active", "Not Active")</f>
        <v>Active</v>
      </c>
      <c r="J767" s="5">
        <v>8657.9</v>
      </c>
      <c r="K767" s="5" t="str">
        <f t="shared" si="79"/>
        <v>Low</v>
      </c>
      <c r="L767" s="6" t="s">
        <v>100</v>
      </c>
      <c r="M767">
        <v>55</v>
      </c>
      <c r="N767" s="6" t="str">
        <f t="shared" si="80"/>
        <v>Older Adults</v>
      </c>
      <c r="O767" s="6" t="s">
        <v>25</v>
      </c>
      <c r="P767" s="6" t="s">
        <v>36</v>
      </c>
      <c r="Q767" t="s">
        <v>1040</v>
      </c>
      <c r="R767" s="6" t="s">
        <v>28</v>
      </c>
      <c r="S767" s="6" t="s">
        <v>62</v>
      </c>
      <c r="T767" s="14">
        <v>3.3399999999999999E-2</v>
      </c>
      <c r="U767">
        <v>3.34</v>
      </c>
      <c r="V767" t="str">
        <f>IF(fin_table[[#This Row],[Interest Rate(%)]]&gt;4,"high","low")</f>
        <v>low</v>
      </c>
      <c r="W767" s="5">
        <v>39357.589999999997</v>
      </c>
      <c r="X767" s="5">
        <f>fin_table[[#This Row],[Interest Rate]]*fin_table[[#This Row],[Loan Amount]]</f>
        <v>1314.5435059999998</v>
      </c>
      <c r="Y767">
        <v>26</v>
      </c>
      <c r="Z767" s="3">
        <v>617</v>
      </c>
      <c r="AA767" s="3" t="str">
        <f t="shared" si="81"/>
        <v>Fair</v>
      </c>
      <c r="AB767" s="3" cm="1">
        <f t="array" ref="AB767">_xlfn.IFS(fin_table[[#This Row],[Transaction Status]]="Failed", 1, fin_table[[#This Row],[Transaction Status]]="Completed",0,fin_table[[#This Row],[Transaction Status]]="Pending",2)</f>
        <v>2</v>
      </c>
      <c r="AC767" s="3" t="str">
        <f>IF(fin_table[[#This Row],[Loan Defaulters]]=1,"Default", "Good")</f>
        <v>Good</v>
      </c>
      <c r="AD767" s="3">
        <f t="shared" si="82"/>
        <v>2</v>
      </c>
      <c r="AE767" s="4">
        <v>12383.74</v>
      </c>
      <c r="AF767" s="4" t="str">
        <f>IF(fin_table[[#This Row],[Monthly Income]]&lt;3000, "Low Income", IF(fin_table[[#This Row],[Monthly Income]]&lt;=5000, "Middle Income", "High Income"))</f>
        <v>High Income</v>
      </c>
      <c r="AG767" t="s">
        <v>45</v>
      </c>
      <c r="AH767" t="s">
        <v>3636</v>
      </c>
      <c r="AI767" t="str">
        <f t="shared" si="83"/>
        <v>Low-Risk</v>
      </c>
    </row>
    <row r="768" spans="1:35" x14ac:dyDescent="0.35">
      <c r="A768" t="s">
        <v>2822</v>
      </c>
      <c r="B768" t="s">
        <v>2823</v>
      </c>
      <c r="C768" t="s">
        <v>2824</v>
      </c>
      <c r="D768" s="1">
        <v>44953</v>
      </c>
      <c r="E768" s="1" t="str">
        <f t="shared" si="77"/>
        <v>27</v>
      </c>
      <c r="F768" s="1" t="str">
        <f t="shared" si="78"/>
        <v>Jan</v>
      </c>
      <c r="G768" s="6" t="s">
        <v>23</v>
      </c>
      <c r="H768" s="5">
        <v>8899.99</v>
      </c>
      <c r="I768" s="5" t="str">
        <f>IF(fin_table[[#This Row],[Account Balance]]&lt;20000,"Active", "Not Active")</f>
        <v>Active</v>
      </c>
      <c r="J768" s="5">
        <v>11784.35</v>
      </c>
      <c r="K768" s="5" t="str">
        <f t="shared" si="79"/>
        <v>Medium</v>
      </c>
      <c r="L768" s="6" t="s">
        <v>24</v>
      </c>
      <c r="M768">
        <v>26</v>
      </c>
      <c r="N768" s="6" t="str">
        <f t="shared" si="80"/>
        <v>Adults</v>
      </c>
      <c r="O768" s="6" t="s">
        <v>25</v>
      </c>
      <c r="P768" s="6" t="s">
        <v>50</v>
      </c>
      <c r="Q768" t="s">
        <v>2825</v>
      </c>
      <c r="R768" s="6" t="s">
        <v>28</v>
      </c>
      <c r="S768" s="6" t="s">
        <v>44</v>
      </c>
      <c r="T768" s="14">
        <v>1.72E-2</v>
      </c>
      <c r="U768">
        <v>1.72</v>
      </c>
      <c r="V768" t="str">
        <f>IF(fin_table[[#This Row],[Interest Rate(%)]]&gt;4,"high","low")</f>
        <v>low</v>
      </c>
      <c r="W768" s="5">
        <v>27985.64</v>
      </c>
      <c r="X768" s="5">
        <f>fin_table[[#This Row],[Interest Rate]]*fin_table[[#This Row],[Loan Amount]]</f>
        <v>481.35300799999999</v>
      </c>
      <c r="Y768">
        <v>13</v>
      </c>
      <c r="Z768" s="3">
        <v>318</v>
      </c>
      <c r="AA768" s="3" t="str">
        <f t="shared" si="81"/>
        <v>Poor</v>
      </c>
      <c r="AB768" s="3" cm="1">
        <f t="array" ref="AB768">_xlfn.IFS(fin_table[[#This Row],[Transaction Status]]="Failed", 1, fin_table[[#This Row],[Transaction Status]]="Completed",0,fin_table[[#This Row],[Transaction Status]]="Pending",2)</f>
        <v>0</v>
      </c>
      <c r="AC768" s="3" t="str">
        <f>IF(fin_table[[#This Row],[Loan Defaulters]]=1,"Default", "Good")</f>
        <v>Good</v>
      </c>
      <c r="AD768" s="3">
        <f t="shared" si="82"/>
        <v>1</v>
      </c>
      <c r="AE768" s="4">
        <v>5342.49</v>
      </c>
      <c r="AF768" s="4" t="str">
        <f>IF(fin_table[[#This Row],[Monthly Income]]&lt;3000, "Low Income", IF(fin_table[[#This Row],[Monthly Income]]&lt;=5000, "Middle Income", "High Income"))</f>
        <v>High Income</v>
      </c>
      <c r="AG768" t="s">
        <v>30</v>
      </c>
      <c r="AH768" t="s">
        <v>3636</v>
      </c>
      <c r="AI768" t="str">
        <f t="shared" si="83"/>
        <v>Low-Risk</v>
      </c>
    </row>
    <row r="769" spans="1:35" x14ac:dyDescent="0.35">
      <c r="A769" t="s">
        <v>2826</v>
      </c>
      <c r="B769" t="s">
        <v>2827</v>
      </c>
      <c r="C769" t="s">
        <v>2828</v>
      </c>
      <c r="D769" s="1">
        <v>44687</v>
      </c>
      <c r="E769" s="1" t="str">
        <f t="shared" si="77"/>
        <v>06</v>
      </c>
      <c r="F769" s="1" t="str">
        <f t="shared" si="78"/>
        <v>May</v>
      </c>
      <c r="G769" s="6" t="s">
        <v>23</v>
      </c>
      <c r="H769" s="5">
        <v>5490.61</v>
      </c>
      <c r="I769" s="5" t="str">
        <f>IF(fin_table[[#This Row],[Account Balance]]&lt;20000,"Active", "Not Active")</f>
        <v>Not Active</v>
      </c>
      <c r="J769" s="5">
        <v>26395.53</v>
      </c>
      <c r="K769" s="5" t="str">
        <f t="shared" si="79"/>
        <v>Medium</v>
      </c>
      <c r="L769" s="6" t="s">
        <v>24</v>
      </c>
      <c r="M769">
        <v>26</v>
      </c>
      <c r="N769" s="6" t="str">
        <f t="shared" si="80"/>
        <v>Adults</v>
      </c>
      <c r="O769" s="6" t="s">
        <v>42</v>
      </c>
      <c r="P769" s="6" t="s">
        <v>50</v>
      </c>
      <c r="Q769" t="s">
        <v>2829</v>
      </c>
      <c r="R769" s="6" t="s">
        <v>52</v>
      </c>
      <c r="S769" s="6" t="s">
        <v>29</v>
      </c>
      <c r="T769" s="14">
        <v>3.9399999999999998E-2</v>
      </c>
      <c r="U769">
        <v>3.94</v>
      </c>
      <c r="V769" t="str">
        <f>IF(fin_table[[#This Row],[Interest Rate(%)]]&gt;4,"high","low")</f>
        <v>low</v>
      </c>
      <c r="W769" s="5">
        <v>26681.654999999999</v>
      </c>
      <c r="X769" s="5">
        <f>fin_table[[#This Row],[Interest Rate]]*fin_table[[#This Row],[Loan Amount]]</f>
        <v>1051.2572069999999</v>
      </c>
      <c r="Y769">
        <v>13</v>
      </c>
      <c r="Z769" s="3">
        <v>406</v>
      </c>
      <c r="AA769" s="3" t="str">
        <f t="shared" si="81"/>
        <v>Poor</v>
      </c>
      <c r="AB769" s="3" cm="1">
        <f t="array" ref="AB769">_xlfn.IFS(fin_table[[#This Row],[Transaction Status]]="Failed", 1, fin_table[[#This Row],[Transaction Status]]="Completed",0,fin_table[[#This Row],[Transaction Status]]="Pending",2)</f>
        <v>1</v>
      </c>
      <c r="AC769" s="3" t="str">
        <f>IF(fin_table[[#This Row],[Loan Defaulters]]=1,"Default", "Good")</f>
        <v>Default</v>
      </c>
      <c r="AD769" s="3">
        <f t="shared" si="82"/>
        <v>1</v>
      </c>
      <c r="AE769" s="4">
        <v>10034.56</v>
      </c>
      <c r="AF769" s="4" t="str">
        <f>IF(fin_table[[#This Row],[Monthly Income]]&lt;3000, "Low Income", IF(fin_table[[#This Row],[Monthly Income]]&lt;=5000, "Middle Income", "High Income"))</f>
        <v>High Income</v>
      </c>
      <c r="AG769" t="s">
        <v>63</v>
      </c>
      <c r="AH769" t="s">
        <v>3635</v>
      </c>
      <c r="AI769" t="str">
        <f t="shared" si="83"/>
        <v>Low-Risk</v>
      </c>
    </row>
    <row r="770" spans="1:35" x14ac:dyDescent="0.35">
      <c r="A770" t="s">
        <v>2830</v>
      </c>
      <c r="B770" t="s">
        <v>2831</v>
      </c>
      <c r="C770" t="s">
        <v>2832</v>
      </c>
      <c r="D770" s="1">
        <v>44864</v>
      </c>
      <c r="E770" s="1" t="str">
        <f t="shared" ref="E770:E833" si="84">TEXT(D770, "DD")</f>
        <v>30</v>
      </c>
      <c r="F770" s="1" t="str">
        <f t="shared" ref="F770:F833" si="85">TEXT(D770, "MMM")</f>
        <v>Oct</v>
      </c>
      <c r="G770" s="6" t="s">
        <v>71</v>
      </c>
      <c r="H770" s="5">
        <v>2124.16</v>
      </c>
      <c r="I770" s="5" t="str">
        <f>IF(fin_table[[#This Row],[Account Balance]]&lt;20000,"Active", "Not Active")</f>
        <v>Not Active</v>
      </c>
      <c r="J770" s="5">
        <v>35795.620000000003</v>
      </c>
      <c r="K770" s="5" t="str">
        <f t="shared" ref="K770:K833" si="86">IF(J770&lt;10000, "Low", IF(J770&lt;50000, "Medium", "High"))</f>
        <v>Medium</v>
      </c>
      <c r="L770" s="6" t="s">
        <v>35</v>
      </c>
      <c r="M770">
        <v>63</v>
      </c>
      <c r="N770" s="6" t="str">
        <f t="shared" ref="N770:N833" si="87">IF(M770&lt;18, "Teenagers", IF(M770&lt;=25, "Young Adults", IF(M770&lt;=35, "Adults", IF(M770&lt;=45, "Middle-Aged", IF(M770&lt;=60, "Older Adults", "Seniors")))))</f>
        <v>Seniors</v>
      </c>
      <c r="O770" s="6" t="s">
        <v>42</v>
      </c>
      <c r="P770" s="6" t="s">
        <v>50</v>
      </c>
      <c r="Q770" t="s">
        <v>2833</v>
      </c>
      <c r="R770" s="6" t="s">
        <v>28</v>
      </c>
      <c r="S770" s="6" t="s">
        <v>29</v>
      </c>
      <c r="T770" s="14">
        <v>1.7500000000000002E-2</v>
      </c>
      <c r="U770">
        <v>1.75</v>
      </c>
      <c r="V770" t="str">
        <f>IF(fin_table[[#This Row],[Interest Rate(%)]]&gt;4,"high","low")</f>
        <v>low</v>
      </c>
      <c r="W770" s="5">
        <v>26681.654999999999</v>
      </c>
      <c r="X770" s="5">
        <f>fin_table[[#This Row],[Interest Rate]]*fin_table[[#This Row],[Loan Amount]]</f>
        <v>466.92896250000001</v>
      </c>
      <c r="Y770">
        <v>13</v>
      </c>
      <c r="Z770" s="3">
        <v>757</v>
      </c>
      <c r="AA770" s="3" t="str">
        <f t="shared" ref="AA770:AA833" si="88">IF(Z770&lt;580, "Poor", IF(Z770&lt;670, "Fair", IF(Z770&lt;740, "Good", IF(Z770&lt;800, "Very Good", "Excellent"))))</f>
        <v>Very Good</v>
      </c>
      <c r="AB770" s="3" cm="1">
        <f t="array" ref="AB770">_xlfn.IFS(fin_table[[#This Row],[Transaction Status]]="Failed", 1, fin_table[[#This Row],[Transaction Status]]="Completed",0,fin_table[[#This Row],[Transaction Status]]="Pending",2)</f>
        <v>1</v>
      </c>
      <c r="AC770" s="3" t="str">
        <f>IF(fin_table[[#This Row],[Loan Defaulters]]=1,"Default", "Good")</f>
        <v>Default</v>
      </c>
      <c r="AD770" s="3">
        <f t="shared" ref="AD770:AD833" si="89">IF(AA770="Poor", 1, IF(AA770="Fair", 2, IF(AA770="Good", 3, IF(AA770="Very Good", 4, IF(AA770="Excellent", 5, "")))))</f>
        <v>4</v>
      </c>
      <c r="AE770" s="4">
        <v>7980.86</v>
      </c>
      <c r="AF770" s="4" t="str">
        <f>IF(fin_table[[#This Row],[Monthly Income]]&lt;3000, "Low Income", IF(fin_table[[#This Row],[Monthly Income]]&lt;=5000, "Middle Income", "High Income"))</f>
        <v>High Income</v>
      </c>
      <c r="AG770" t="s">
        <v>45</v>
      </c>
      <c r="AH770" t="s">
        <v>3635</v>
      </c>
      <c r="AI770" t="str">
        <f t="shared" ref="AI770:AI833" si="90">IF(AND(W770&gt;33000, Z770&lt;600), "High-Risk", "Low-Risk")</f>
        <v>Low-Risk</v>
      </c>
    </row>
    <row r="771" spans="1:35" x14ac:dyDescent="0.35">
      <c r="A771" t="s">
        <v>2834</v>
      </c>
      <c r="B771" t="s">
        <v>2835</v>
      </c>
      <c r="C771" t="s">
        <v>2836</v>
      </c>
      <c r="D771" s="1">
        <v>45055</v>
      </c>
      <c r="E771" s="1" t="str">
        <f t="shared" si="84"/>
        <v>09</v>
      </c>
      <c r="F771" s="1" t="str">
        <f t="shared" si="85"/>
        <v>May</v>
      </c>
      <c r="G771" s="6" t="s">
        <v>56</v>
      </c>
      <c r="H771" s="5">
        <v>2627.56</v>
      </c>
      <c r="I771" s="5" t="str">
        <f>IF(fin_table[[#This Row],[Account Balance]]&lt;20000,"Active", "Not Active")</f>
        <v>Active</v>
      </c>
      <c r="J771" s="5">
        <v>5690.72</v>
      </c>
      <c r="K771" s="5" t="str">
        <f t="shared" si="86"/>
        <v>Low</v>
      </c>
      <c r="L771" s="6" t="s">
        <v>49</v>
      </c>
      <c r="M771">
        <v>25</v>
      </c>
      <c r="N771" s="6" t="str">
        <f t="shared" si="87"/>
        <v>Young Adults</v>
      </c>
      <c r="O771" s="6" t="s">
        <v>25</v>
      </c>
      <c r="P771" s="6" t="s">
        <v>50</v>
      </c>
      <c r="Q771" t="s">
        <v>2837</v>
      </c>
      <c r="R771" s="6" t="s">
        <v>52</v>
      </c>
      <c r="S771" s="6" t="s">
        <v>29</v>
      </c>
      <c r="T771" s="14">
        <v>1.4500000000000001E-2</v>
      </c>
      <c r="U771">
        <v>1.45</v>
      </c>
      <c r="V771" t="str">
        <f>IF(fin_table[[#This Row],[Interest Rate(%)]]&gt;4,"high","low")</f>
        <v>low</v>
      </c>
      <c r="W771" s="5">
        <v>25715.18</v>
      </c>
      <c r="X771" s="5">
        <f>fin_table[[#This Row],[Interest Rate]]*fin_table[[#This Row],[Loan Amount]]</f>
        <v>372.87011000000001</v>
      </c>
      <c r="Y771">
        <v>8</v>
      </c>
      <c r="Z771" s="3">
        <v>610</v>
      </c>
      <c r="AA771" s="3" t="str">
        <f t="shared" si="88"/>
        <v>Fair</v>
      </c>
      <c r="AB771" s="3" cm="1">
        <f t="array" ref="AB771">_xlfn.IFS(fin_table[[#This Row],[Transaction Status]]="Failed", 1, fin_table[[#This Row],[Transaction Status]]="Completed",0,fin_table[[#This Row],[Transaction Status]]="Pending",2)</f>
        <v>1</v>
      </c>
      <c r="AC771" s="3" t="str">
        <f>IF(fin_table[[#This Row],[Loan Defaulters]]=1,"Default", "Good")</f>
        <v>Default</v>
      </c>
      <c r="AD771" s="3">
        <f t="shared" si="89"/>
        <v>2</v>
      </c>
      <c r="AE771" s="4">
        <v>12171.74</v>
      </c>
      <c r="AF771" s="4" t="str">
        <f>IF(fin_table[[#This Row],[Monthly Income]]&lt;3000, "Low Income", IF(fin_table[[#This Row],[Monthly Income]]&lt;=5000, "Middle Income", "High Income"))</f>
        <v>High Income</v>
      </c>
      <c r="AG771" t="s">
        <v>45</v>
      </c>
      <c r="AH771" t="s">
        <v>3636</v>
      </c>
      <c r="AI771" t="str">
        <f t="shared" si="90"/>
        <v>Low-Risk</v>
      </c>
    </row>
    <row r="772" spans="1:35" x14ac:dyDescent="0.35">
      <c r="A772" t="s">
        <v>2838</v>
      </c>
      <c r="B772" t="s">
        <v>2839</v>
      </c>
      <c r="C772" t="s">
        <v>2840</v>
      </c>
      <c r="D772" s="1">
        <v>45072</v>
      </c>
      <c r="E772" s="1" t="str">
        <f t="shared" si="84"/>
        <v>26</v>
      </c>
      <c r="F772" s="1" t="str">
        <f t="shared" si="85"/>
        <v>May</v>
      </c>
      <c r="G772" s="6" t="s">
        <v>23</v>
      </c>
      <c r="H772" s="5">
        <v>3027.38</v>
      </c>
      <c r="I772" s="5" t="str">
        <f>IF(fin_table[[#This Row],[Account Balance]]&lt;20000,"Active", "Not Active")</f>
        <v>Active</v>
      </c>
      <c r="J772" s="5">
        <v>16567.04</v>
      </c>
      <c r="K772" s="5" t="str">
        <f t="shared" si="86"/>
        <v>Medium</v>
      </c>
      <c r="L772" s="6" t="s">
        <v>125</v>
      </c>
      <c r="M772">
        <v>68</v>
      </c>
      <c r="N772" s="6" t="str">
        <f t="shared" si="87"/>
        <v>Seniors</v>
      </c>
      <c r="O772" s="6" t="s">
        <v>25</v>
      </c>
      <c r="P772" s="6" t="s">
        <v>50</v>
      </c>
      <c r="Q772" t="s">
        <v>1848</v>
      </c>
      <c r="R772" s="6" t="s">
        <v>52</v>
      </c>
      <c r="S772" s="6" t="s">
        <v>29</v>
      </c>
      <c r="T772" s="14">
        <v>3.1899999999999998E-2</v>
      </c>
      <c r="U772">
        <v>3.19</v>
      </c>
      <c r="V772" t="str">
        <f>IF(fin_table[[#This Row],[Interest Rate(%)]]&gt;4,"high","low")</f>
        <v>low</v>
      </c>
      <c r="W772" s="5">
        <v>26681.654999999999</v>
      </c>
      <c r="X772" s="5">
        <f>fin_table[[#This Row],[Interest Rate]]*fin_table[[#This Row],[Loan Amount]]</f>
        <v>851.14479449999988</v>
      </c>
      <c r="Y772">
        <v>18</v>
      </c>
      <c r="Z772" s="3">
        <v>711</v>
      </c>
      <c r="AA772" s="3" t="str">
        <f t="shared" si="88"/>
        <v>Good</v>
      </c>
      <c r="AB772" s="3" cm="1">
        <f t="array" ref="AB772">_xlfn.IFS(fin_table[[#This Row],[Transaction Status]]="Failed", 1, fin_table[[#This Row],[Transaction Status]]="Completed",0,fin_table[[#This Row],[Transaction Status]]="Pending",2)</f>
        <v>1</v>
      </c>
      <c r="AC772" s="3" t="str">
        <f>IF(fin_table[[#This Row],[Loan Defaulters]]=1,"Default", "Good")</f>
        <v>Default</v>
      </c>
      <c r="AD772" s="3">
        <f t="shared" si="89"/>
        <v>3</v>
      </c>
      <c r="AE772" s="4">
        <v>6020.33</v>
      </c>
      <c r="AF772" s="4" t="str">
        <f>IF(fin_table[[#This Row],[Monthly Income]]&lt;3000, "Low Income", IF(fin_table[[#This Row],[Monthly Income]]&lt;=5000, "Middle Income", "High Income"))</f>
        <v>High Income</v>
      </c>
      <c r="AG772" t="s">
        <v>30</v>
      </c>
      <c r="AH772" t="s">
        <v>3635</v>
      </c>
      <c r="AI772" t="str">
        <f t="shared" si="90"/>
        <v>Low-Risk</v>
      </c>
    </row>
    <row r="773" spans="1:35" x14ac:dyDescent="0.35">
      <c r="A773" t="s">
        <v>2841</v>
      </c>
      <c r="B773" t="s">
        <v>1363</v>
      </c>
      <c r="C773" t="s">
        <v>2842</v>
      </c>
      <c r="D773" s="1">
        <v>44600</v>
      </c>
      <c r="E773" s="1" t="str">
        <f t="shared" si="84"/>
        <v>08</v>
      </c>
      <c r="F773" s="1" t="str">
        <f t="shared" si="85"/>
        <v>Feb</v>
      </c>
      <c r="G773" s="6" t="s">
        <v>23</v>
      </c>
      <c r="H773" s="5">
        <v>5978.64</v>
      </c>
      <c r="I773" s="5" t="str">
        <f>IF(fin_table[[#This Row],[Account Balance]]&lt;20000,"Active", "Not Active")</f>
        <v>Not Active</v>
      </c>
      <c r="J773" s="5">
        <v>48465.06</v>
      </c>
      <c r="K773" s="5" t="str">
        <f t="shared" si="86"/>
        <v>Medium</v>
      </c>
      <c r="L773" s="6" t="s">
        <v>125</v>
      </c>
      <c r="M773">
        <v>52</v>
      </c>
      <c r="N773" s="6" t="str">
        <f t="shared" si="87"/>
        <v>Older Adults</v>
      </c>
      <c r="O773" s="6" t="s">
        <v>25</v>
      </c>
      <c r="P773" s="6" t="s">
        <v>36</v>
      </c>
      <c r="Q773" t="s">
        <v>2199</v>
      </c>
      <c r="R773" s="6" t="s">
        <v>52</v>
      </c>
      <c r="S773" s="6" t="s">
        <v>29</v>
      </c>
      <c r="T773" s="14">
        <v>3.8399999999999997E-2</v>
      </c>
      <c r="U773">
        <v>3.84</v>
      </c>
      <c r="V773" t="str">
        <f>IF(fin_table[[#This Row],[Interest Rate(%)]]&gt;4,"high","low")</f>
        <v>low</v>
      </c>
      <c r="W773" s="5">
        <v>35281.300000000003</v>
      </c>
      <c r="X773" s="5">
        <f>fin_table[[#This Row],[Interest Rate]]*fin_table[[#This Row],[Loan Amount]]</f>
        <v>1354.8019199999999</v>
      </c>
      <c r="Y773">
        <v>16</v>
      </c>
      <c r="Z773" s="3">
        <v>797</v>
      </c>
      <c r="AA773" s="3" t="str">
        <f t="shared" si="88"/>
        <v>Very Good</v>
      </c>
      <c r="AB773" s="3" cm="1">
        <f t="array" ref="AB773">_xlfn.IFS(fin_table[[#This Row],[Transaction Status]]="Failed", 1, fin_table[[#This Row],[Transaction Status]]="Completed",0,fin_table[[#This Row],[Transaction Status]]="Pending",2)</f>
        <v>1</v>
      </c>
      <c r="AC773" s="3" t="str">
        <f>IF(fin_table[[#This Row],[Loan Defaulters]]=1,"Default", "Good")</f>
        <v>Default</v>
      </c>
      <c r="AD773" s="3">
        <f t="shared" si="89"/>
        <v>4</v>
      </c>
      <c r="AE773" s="4">
        <v>10361.32</v>
      </c>
      <c r="AF773" s="4" t="str">
        <f>IF(fin_table[[#This Row],[Monthly Income]]&lt;3000, "Low Income", IF(fin_table[[#This Row],[Monthly Income]]&lt;=5000, "Middle Income", "High Income"))</f>
        <v>High Income</v>
      </c>
      <c r="AG773" t="s">
        <v>63</v>
      </c>
      <c r="AH773" t="s">
        <v>3636</v>
      </c>
      <c r="AI773" t="str">
        <f t="shared" si="90"/>
        <v>Low-Risk</v>
      </c>
    </row>
    <row r="774" spans="1:35" x14ac:dyDescent="0.35">
      <c r="A774" t="s">
        <v>2843</v>
      </c>
      <c r="B774" t="s">
        <v>2844</v>
      </c>
      <c r="C774" t="s">
        <v>2845</v>
      </c>
      <c r="D774" s="1">
        <v>44730</v>
      </c>
      <c r="E774" s="1" t="str">
        <f t="shared" si="84"/>
        <v>18</v>
      </c>
      <c r="F774" s="1" t="str">
        <f t="shared" si="85"/>
        <v>Jun</v>
      </c>
      <c r="G774" s="6" t="s">
        <v>71</v>
      </c>
      <c r="H774" s="5">
        <v>424.82</v>
      </c>
      <c r="I774" s="5" t="str">
        <f>IF(fin_table[[#This Row],[Account Balance]]&lt;20000,"Active", "Not Active")</f>
        <v>Active</v>
      </c>
      <c r="J774" s="5">
        <v>13854.81</v>
      </c>
      <c r="K774" s="5" t="str">
        <f t="shared" si="86"/>
        <v>Medium</v>
      </c>
      <c r="L774" s="6" t="s">
        <v>125</v>
      </c>
      <c r="M774">
        <v>35</v>
      </c>
      <c r="N774" s="6" t="str">
        <f t="shared" si="87"/>
        <v>Adults</v>
      </c>
      <c r="O774" s="6" t="s">
        <v>25</v>
      </c>
      <c r="P774" s="6" t="s">
        <v>26</v>
      </c>
      <c r="Q774" t="s">
        <v>2846</v>
      </c>
      <c r="R774" s="6" t="s">
        <v>28</v>
      </c>
      <c r="S774" s="6" t="s">
        <v>62</v>
      </c>
      <c r="T774" s="14">
        <v>1.2E-2</v>
      </c>
      <c r="U774">
        <v>1.2E-2</v>
      </c>
      <c r="V774" t="str">
        <f>IF(fin_table[[#This Row],[Interest Rate(%)]]&gt;4,"high","low")</f>
        <v>low</v>
      </c>
      <c r="W774" s="5">
        <v>26681.654999999999</v>
      </c>
      <c r="X774" s="5">
        <f>fin_table[[#This Row],[Interest Rate]]*fin_table[[#This Row],[Loan Amount]]</f>
        <v>320.17986000000002</v>
      </c>
      <c r="Y774">
        <v>13</v>
      </c>
      <c r="Z774" s="3">
        <v>543</v>
      </c>
      <c r="AA774" s="3" t="str">
        <f t="shared" si="88"/>
        <v>Poor</v>
      </c>
      <c r="AB774" s="3" cm="1">
        <f t="array" ref="AB774">_xlfn.IFS(fin_table[[#This Row],[Transaction Status]]="Failed", 1, fin_table[[#This Row],[Transaction Status]]="Completed",0,fin_table[[#This Row],[Transaction Status]]="Pending",2)</f>
        <v>2</v>
      </c>
      <c r="AC774" s="3" t="str">
        <f>IF(fin_table[[#This Row],[Loan Defaulters]]=1,"Default", "Good")</f>
        <v>Good</v>
      </c>
      <c r="AD774" s="3">
        <f t="shared" si="89"/>
        <v>1</v>
      </c>
      <c r="AE774" s="4">
        <v>13468.76</v>
      </c>
      <c r="AF774" s="4" t="str">
        <f>IF(fin_table[[#This Row],[Monthly Income]]&lt;3000, "Low Income", IF(fin_table[[#This Row],[Monthly Income]]&lt;=5000, "Middle Income", "High Income"))</f>
        <v>High Income</v>
      </c>
      <c r="AG774" t="s">
        <v>30</v>
      </c>
      <c r="AH774" t="s">
        <v>3635</v>
      </c>
      <c r="AI774" t="str">
        <f t="shared" si="90"/>
        <v>Low-Risk</v>
      </c>
    </row>
    <row r="775" spans="1:35" x14ac:dyDescent="0.35">
      <c r="A775" t="s">
        <v>2847</v>
      </c>
      <c r="B775" t="s">
        <v>2321</v>
      </c>
      <c r="C775" t="s">
        <v>2848</v>
      </c>
      <c r="D775" s="1">
        <v>45030</v>
      </c>
      <c r="E775" s="1" t="str">
        <f t="shared" si="84"/>
        <v>14</v>
      </c>
      <c r="F775" s="1" t="str">
        <f t="shared" si="85"/>
        <v>Apr</v>
      </c>
      <c r="G775" s="6" t="s">
        <v>23</v>
      </c>
      <c r="H775" s="5">
        <v>6396.82</v>
      </c>
      <c r="I775" s="5" t="str">
        <f>IF(fin_table[[#This Row],[Account Balance]]&lt;20000,"Active", "Not Active")</f>
        <v>Active</v>
      </c>
      <c r="J775" s="5">
        <v>16339.46</v>
      </c>
      <c r="K775" s="5" t="str">
        <f t="shared" si="86"/>
        <v>Medium</v>
      </c>
      <c r="L775" s="6" t="s">
        <v>100</v>
      </c>
      <c r="M775">
        <v>22</v>
      </c>
      <c r="N775" s="6" t="str">
        <f t="shared" si="87"/>
        <v>Young Adults</v>
      </c>
      <c r="O775" s="6" t="s">
        <v>42</v>
      </c>
      <c r="P775" s="6" t="s">
        <v>50</v>
      </c>
      <c r="Q775" t="s">
        <v>739</v>
      </c>
      <c r="R775" s="6" t="s">
        <v>38</v>
      </c>
      <c r="S775" s="6" t="s">
        <v>29</v>
      </c>
      <c r="T775" s="14">
        <v>1.2800000000000001E-2</v>
      </c>
      <c r="U775">
        <v>1.28</v>
      </c>
      <c r="V775" t="str">
        <f>IF(fin_table[[#This Row],[Interest Rate(%)]]&gt;4,"high","low")</f>
        <v>low</v>
      </c>
      <c r="W775" s="5">
        <v>41754.54</v>
      </c>
      <c r="X775" s="5">
        <f>fin_table[[#This Row],[Interest Rate]]*fin_table[[#This Row],[Loan Amount]]</f>
        <v>534.45811200000003</v>
      </c>
      <c r="Y775">
        <v>13</v>
      </c>
      <c r="Z775" s="3">
        <v>679</v>
      </c>
      <c r="AA775" s="3" t="str">
        <f t="shared" si="88"/>
        <v>Good</v>
      </c>
      <c r="AB775" s="3" cm="1">
        <f t="array" ref="AB775">_xlfn.IFS(fin_table[[#This Row],[Transaction Status]]="Failed", 1, fin_table[[#This Row],[Transaction Status]]="Completed",0,fin_table[[#This Row],[Transaction Status]]="Pending",2)</f>
        <v>1</v>
      </c>
      <c r="AC775" s="3" t="str">
        <f>IF(fin_table[[#This Row],[Loan Defaulters]]=1,"Default", "Good")</f>
        <v>Default</v>
      </c>
      <c r="AD775" s="3">
        <f t="shared" si="89"/>
        <v>3</v>
      </c>
      <c r="AE775" s="4">
        <v>7227.96</v>
      </c>
      <c r="AF775" s="4" t="str">
        <f>IF(fin_table[[#This Row],[Monthly Income]]&lt;3000, "Low Income", IF(fin_table[[#This Row],[Monthly Income]]&lt;=5000, "Middle Income", "High Income"))</f>
        <v>High Income</v>
      </c>
      <c r="AG775" t="s">
        <v>63</v>
      </c>
      <c r="AH775" t="s">
        <v>3636</v>
      </c>
      <c r="AI775" t="str">
        <f t="shared" si="90"/>
        <v>Low-Risk</v>
      </c>
    </row>
    <row r="776" spans="1:35" x14ac:dyDescent="0.35">
      <c r="A776" t="s">
        <v>2849</v>
      </c>
      <c r="B776" t="s">
        <v>2850</v>
      </c>
      <c r="C776" t="s">
        <v>2851</v>
      </c>
      <c r="D776" s="1">
        <v>44576</v>
      </c>
      <c r="E776" s="1" t="str">
        <f t="shared" si="84"/>
        <v>15</v>
      </c>
      <c r="F776" s="1" t="str">
        <f t="shared" si="85"/>
        <v>Jan</v>
      </c>
      <c r="G776" s="6" t="s">
        <v>71</v>
      </c>
      <c r="H776" s="5">
        <v>3707.11</v>
      </c>
      <c r="I776" s="5" t="str">
        <f>IF(fin_table[[#This Row],[Account Balance]]&lt;20000,"Active", "Not Active")</f>
        <v>Not Active</v>
      </c>
      <c r="J776" s="5">
        <v>41988.43</v>
      </c>
      <c r="K776" s="5" t="str">
        <f t="shared" si="86"/>
        <v>Medium</v>
      </c>
      <c r="L776" s="6" t="s">
        <v>24</v>
      </c>
      <c r="M776">
        <v>31</v>
      </c>
      <c r="N776" s="6" t="str">
        <f t="shared" si="87"/>
        <v>Adults</v>
      </c>
      <c r="O776" s="6" t="s">
        <v>42</v>
      </c>
      <c r="P776" s="6" t="s">
        <v>26</v>
      </c>
      <c r="Q776" t="s">
        <v>2802</v>
      </c>
      <c r="R776" s="6" t="s">
        <v>38</v>
      </c>
      <c r="S776" s="6" t="s">
        <v>44</v>
      </c>
      <c r="T776" s="14">
        <v>4.2099999999999999E-2</v>
      </c>
      <c r="U776">
        <v>4.21</v>
      </c>
      <c r="V776" t="str">
        <f>IF(fin_table[[#This Row],[Interest Rate(%)]]&gt;4,"high","low")</f>
        <v>high</v>
      </c>
      <c r="W776" s="5">
        <v>13832.92</v>
      </c>
      <c r="X776" s="5">
        <f>fin_table[[#This Row],[Interest Rate]]*fin_table[[#This Row],[Loan Amount]]</f>
        <v>582.36593199999993</v>
      </c>
      <c r="Y776">
        <v>12</v>
      </c>
      <c r="Z776" s="3">
        <v>814</v>
      </c>
      <c r="AA776" s="3" t="str">
        <f t="shared" si="88"/>
        <v>Excellent</v>
      </c>
      <c r="AB776" s="3" cm="1">
        <f t="array" ref="AB776">_xlfn.IFS(fin_table[[#This Row],[Transaction Status]]="Failed", 1, fin_table[[#This Row],[Transaction Status]]="Completed",0,fin_table[[#This Row],[Transaction Status]]="Pending",2)</f>
        <v>0</v>
      </c>
      <c r="AC776" s="3" t="str">
        <f>IF(fin_table[[#This Row],[Loan Defaulters]]=1,"Default", "Good")</f>
        <v>Good</v>
      </c>
      <c r="AD776" s="3">
        <f t="shared" si="89"/>
        <v>5</v>
      </c>
      <c r="AE776" s="4">
        <v>2866.09</v>
      </c>
      <c r="AF776" s="4" t="str">
        <f>IF(fin_table[[#This Row],[Monthly Income]]&lt;3000, "Low Income", IF(fin_table[[#This Row],[Monthly Income]]&lt;=5000, "Middle Income", "High Income"))</f>
        <v>Low Income</v>
      </c>
      <c r="AG776" t="s">
        <v>63</v>
      </c>
      <c r="AH776" t="s">
        <v>3636</v>
      </c>
      <c r="AI776" t="str">
        <f t="shared" si="90"/>
        <v>Low-Risk</v>
      </c>
    </row>
    <row r="777" spans="1:35" x14ac:dyDescent="0.35">
      <c r="A777" t="s">
        <v>2852</v>
      </c>
      <c r="B777" t="s">
        <v>2853</v>
      </c>
      <c r="C777" t="s">
        <v>2854</v>
      </c>
      <c r="D777" s="1">
        <v>45152</v>
      </c>
      <c r="E777" s="1" t="str">
        <f t="shared" si="84"/>
        <v>14</v>
      </c>
      <c r="F777" s="1" t="str">
        <f t="shared" si="85"/>
        <v>Aug</v>
      </c>
      <c r="G777" s="6" t="s">
        <v>34</v>
      </c>
      <c r="H777" s="5">
        <v>3022.89</v>
      </c>
      <c r="I777" s="5" t="str">
        <f>IF(fin_table[[#This Row],[Account Balance]]&lt;20000,"Active", "Not Active")</f>
        <v>Active</v>
      </c>
      <c r="J777" s="5">
        <v>3460.51</v>
      </c>
      <c r="K777" s="5" t="str">
        <f t="shared" si="86"/>
        <v>Low</v>
      </c>
      <c r="L777" s="6" t="s">
        <v>49</v>
      </c>
      <c r="M777">
        <v>45</v>
      </c>
      <c r="N777" s="6" t="str">
        <f t="shared" si="87"/>
        <v>Middle-Aged</v>
      </c>
      <c r="O777" s="6" t="s">
        <v>25</v>
      </c>
      <c r="P777" s="6" t="s">
        <v>36</v>
      </c>
      <c r="Q777" t="s">
        <v>2855</v>
      </c>
      <c r="R777" s="6" t="s">
        <v>28</v>
      </c>
      <c r="S777" s="6" t="s">
        <v>44</v>
      </c>
      <c r="T777" s="14">
        <v>4.24E-2</v>
      </c>
      <c r="U777">
        <v>4.24</v>
      </c>
      <c r="V777" t="str">
        <f>IF(fin_table[[#This Row],[Interest Rate(%)]]&gt;4,"high","low")</f>
        <v>high</v>
      </c>
      <c r="W777" s="5">
        <v>14227.48</v>
      </c>
      <c r="X777" s="5">
        <f>fin_table[[#This Row],[Interest Rate]]*fin_table[[#This Row],[Loan Amount]]</f>
        <v>603.24515199999996</v>
      </c>
      <c r="Y777">
        <v>13</v>
      </c>
      <c r="Z777" s="3">
        <v>506</v>
      </c>
      <c r="AA777" s="3" t="str">
        <f t="shared" si="88"/>
        <v>Poor</v>
      </c>
      <c r="AB777" s="3" cm="1">
        <f t="array" ref="AB777">_xlfn.IFS(fin_table[[#This Row],[Transaction Status]]="Failed", 1, fin_table[[#This Row],[Transaction Status]]="Completed",0,fin_table[[#This Row],[Transaction Status]]="Pending",2)</f>
        <v>0</v>
      </c>
      <c r="AC777" s="3" t="str">
        <f>IF(fin_table[[#This Row],[Loan Defaulters]]=1,"Default", "Good")</f>
        <v>Good</v>
      </c>
      <c r="AD777" s="3">
        <f t="shared" si="89"/>
        <v>1</v>
      </c>
      <c r="AE777" s="4">
        <v>8708.66</v>
      </c>
      <c r="AF777" s="4" t="str">
        <f>IF(fin_table[[#This Row],[Monthly Income]]&lt;3000, "Low Income", IF(fin_table[[#This Row],[Monthly Income]]&lt;=5000, "Middle Income", "High Income"))</f>
        <v>High Income</v>
      </c>
      <c r="AG777" t="s">
        <v>45</v>
      </c>
      <c r="AH777" t="s">
        <v>3636</v>
      </c>
      <c r="AI777" t="str">
        <f t="shared" si="90"/>
        <v>Low-Risk</v>
      </c>
    </row>
    <row r="778" spans="1:35" x14ac:dyDescent="0.35">
      <c r="A778" t="s">
        <v>2856</v>
      </c>
      <c r="B778" t="s">
        <v>2857</v>
      </c>
      <c r="C778" t="s">
        <v>2858</v>
      </c>
      <c r="D778" s="1">
        <v>44569</v>
      </c>
      <c r="E778" s="1" t="str">
        <f t="shared" si="84"/>
        <v>08</v>
      </c>
      <c r="F778" s="1" t="str">
        <f t="shared" si="85"/>
        <v>Jan</v>
      </c>
      <c r="G778" s="6" t="s">
        <v>23</v>
      </c>
      <c r="H778" s="5">
        <v>8807.02</v>
      </c>
      <c r="I778" s="5" t="str">
        <f>IF(fin_table[[#This Row],[Account Balance]]&lt;20000,"Active", "Not Active")</f>
        <v>Not Active</v>
      </c>
      <c r="J778" s="5">
        <v>23766.05</v>
      </c>
      <c r="K778" s="5" t="str">
        <f t="shared" si="86"/>
        <v>Medium</v>
      </c>
      <c r="L778" s="6" t="s">
        <v>100</v>
      </c>
      <c r="M778">
        <v>47</v>
      </c>
      <c r="N778" s="6" t="str">
        <f t="shared" si="87"/>
        <v>Older Adults</v>
      </c>
      <c r="O778" s="6" t="s">
        <v>25</v>
      </c>
      <c r="P778" s="6" t="s">
        <v>36</v>
      </c>
      <c r="Q778" t="s">
        <v>2358</v>
      </c>
      <c r="R778" s="6" t="s">
        <v>38</v>
      </c>
      <c r="S778" s="6" t="s">
        <v>44</v>
      </c>
      <c r="T778" s="14">
        <v>1.9800000000000002E-2</v>
      </c>
      <c r="U778">
        <v>1.98</v>
      </c>
      <c r="V778" t="str">
        <f>IF(fin_table[[#This Row],[Interest Rate(%)]]&gt;4,"high","low")</f>
        <v>low</v>
      </c>
      <c r="W778" s="5">
        <v>34059.18</v>
      </c>
      <c r="X778" s="5">
        <f>fin_table[[#This Row],[Interest Rate]]*fin_table[[#This Row],[Loan Amount]]</f>
        <v>674.3717640000001</v>
      </c>
      <c r="Y778">
        <v>6</v>
      </c>
      <c r="Z778" s="3">
        <v>693</v>
      </c>
      <c r="AA778" s="3" t="str">
        <f t="shared" si="88"/>
        <v>Good</v>
      </c>
      <c r="AB778" s="3" cm="1">
        <f t="array" ref="AB778">_xlfn.IFS(fin_table[[#This Row],[Transaction Status]]="Failed", 1, fin_table[[#This Row],[Transaction Status]]="Completed",0,fin_table[[#This Row],[Transaction Status]]="Pending",2)</f>
        <v>0</v>
      </c>
      <c r="AC778" s="3" t="str">
        <f>IF(fin_table[[#This Row],[Loan Defaulters]]=1,"Default", "Good")</f>
        <v>Good</v>
      </c>
      <c r="AD778" s="3">
        <f t="shared" si="89"/>
        <v>3</v>
      </c>
      <c r="AE778" s="4">
        <v>6497.64</v>
      </c>
      <c r="AF778" s="4" t="str">
        <f>IF(fin_table[[#This Row],[Monthly Income]]&lt;3000, "Low Income", IF(fin_table[[#This Row],[Monthly Income]]&lt;=5000, "Middle Income", "High Income"))</f>
        <v>High Income</v>
      </c>
      <c r="AG778" t="s">
        <v>63</v>
      </c>
      <c r="AH778" t="s">
        <v>3636</v>
      </c>
      <c r="AI778" t="str">
        <f t="shared" si="90"/>
        <v>Low-Risk</v>
      </c>
    </row>
    <row r="779" spans="1:35" x14ac:dyDescent="0.35">
      <c r="A779" t="s">
        <v>2859</v>
      </c>
      <c r="B779" t="s">
        <v>2860</v>
      </c>
      <c r="C779" t="s">
        <v>2861</v>
      </c>
      <c r="D779" s="1">
        <v>44891</v>
      </c>
      <c r="E779" s="1" t="str">
        <f t="shared" si="84"/>
        <v>26</v>
      </c>
      <c r="F779" s="1" t="str">
        <f t="shared" si="85"/>
        <v>Nov</v>
      </c>
      <c r="G779" s="6" t="s">
        <v>23</v>
      </c>
      <c r="H779" s="5">
        <v>4654.0200000000004</v>
      </c>
      <c r="I779" s="5" t="str">
        <f>IF(fin_table[[#This Row],[Account Balance]]&lt;20000,"Active", "Not Active")</f>
        <v>Active</v>
      </c>
      <c r="J779" s="5">
        <v>19601.22</v>
      </c>
      <c r="K779" s="5" t="str">
        <f t="shared" si="86"/>
        <v>Medium</v>
      </c>
      <c r="L779" s="6" t="s">
        <v>24</v>
      </c>
      <c r="M779">
        <v>21</v>
      </c>
      <c r="N779" s="6" t="str">
        <f t="shared" si="87"/>
        <v>Young Adults</v>
      </c>
      <c r="O779" s="6" t="s">
        <v>25</v>
      </c>
      <c r="P779" s="6" t="s">
        <v>50</v>
      </c>
      <c r="Q779" t="s">
        <v>1937</v>
      </c>
      <c r="R779" s="6" t="s">
        <v>52</v>
      </c>
      <c r="S779" s="6" t="s">
        <v>44</v>
      </c>
      <c r="T779" s="14">
        <v>3.4599999999999999E-2</v>
      </c>
      <c r="U779">
        <v>3.46</v>
      </c>
      <c r="V779" t="str">
        <f>IF(fin_table[[#This Row],[Interest Rate(%)]]&gt;4,"high","low")</f>
        <v>low</v>
      </c>
      <c r="W779" s="5">
        <v>26681.654999999999</v>
      </c>
      <c r="X779" s="5">
        <f>fin_table[[#This Row],[Interest Rate]]*fin_table[[#This Row],[Loan Amount]]</f>
        <v>923.18526299999996</v>
      </c>
      <c r="Y779">
        <v>3</v>
      </c>
      <c r="Z779" s="3">
        <v>320</v>
      </c>
      <c r="AA779" s="3" t="str">
        <f t="shared" si="88"/>
        <v>Poor</v>
      </c>
      <c r="AB779" s="3" cm="1">
        <f t="array" ref="AB779">_xlfn.IFS(fin_table[[#This Row],[Transaction Status]]="Failed", 1, fin_table[[#This Row],[Transaction Status]]="Completed",0,fin_table[[#This Row],[Transaction Status]]="Pending",2)</f>
        <v>0</v>
      </c>
      <c r="AC779" s="3" t="str">
        <f>IF(fin_table[[#This Row],[Loan Defaulters]]=1,"Default", "Good")</f>
        <v>Good</v>
      </c>
      <c r="AD779" s="3">
        <f t="shared" si="89"/>
        <v>1</v>
      </c>
      <c r="AE779" s="4">
        <v>10738.93</v>
      </c>
      <c r="AF779" s="4" t="str">
        <f>IF(fin_table[[#This Row],[Monthly Income]]&lt;3000, "Low Income", IF(fin_table[[#This Row],[Monthly Income]]&lt;=5000, "Middle Income", "High Income"))</f>
        <v>High Income</v>
      </c>
      <c r="AG779" t="s">
        <v>45</v>
      </c>
      <c r="AH779" t="s">
        <v>3635</v>
      </c>
      <c r="AI779" t="str">
        <f t="shared" si="90"/>
        <v>Low-Risk</v>
      </c>
    </row>
    <row r="780" spans="1:35" x14ac:dyDescent="0.35">
      <c r="A780" t="s">
        <v>2862</v>
      </c>
      <c r="B780" t="s">
        <v>2863</v>
      </c>
      <c r="C780" t="s">
        <v>2864</v>
      </c>
      <c r="D780" s="1">
        <v>44913</v>
      </c>
      <c r="E780" s="1" t="str">
        <f t="shared" si="84"/>
        <v>18</v>
      </c>
      <c r="F780" s="1" t="str">
        <f t="shared" si="85"/>
        <v>Dec</v>
      </c>
      <c r="G780" s="6" t="s">
        <v>34</v>
      </c>
      <c r="H780" s="5">
        <v>1041.03</v>
      </c>
      <c r="I780" s="5" t="str">
        <f>IF(fin_table[[#This Row],[Account Balance]]&lt;20000,"Active", "Not Active")</f>
        <v>Active</v>
      </c>
      <c r="J780" s="5">
        <v>16512.75</v>
      </c>
      <c r="K780" s="5" t="str">
        <f t="shared" si="86"/>
        <v>Medium</v>
      </c>
      <c r="L780" s="6" t="s">
        <v>24</v>
      </c>
      <c r="M780">
        <v>56</v>
      </c>
      <c r="N780" s="6" t="str">
        <f t="shared" si="87"/>
        <v>Older Adults</v>
      </c>
      <c r="O780" s="6" t="s">
        <v>42</v>
      </c>
      <c r="P780" s="6" t="s">
        <v>36</v>
      </c>
      <c r="Q780" t="s">
        <v>2865</v>
      </c>
      <c r="R780" s="6" t="s">
        <v>38</v>
      </c>
      <c r="S780" s="6" t="s">
        <v>62</v>
      </c>
      <c r="T780" s="14">
        <v>2.7699999999999999E-2</v>
      </c>
      <c r="U780">
        <v>2.77</v>
      </c>
      <c r="V780" t="str">
        <f>IF(fin_table[[#This Row],[Interest Rate(%)]]&gt;4,"high","low")</f>
        <v>low</v>
      </c>
      <c r="W780" s="5">
        <v>26681.654999999999</v>
      </c>
      <c r="X780" s="5">
        <f>fin_table[[#This Row],[Interest Rate]]*fin_table[[#This Row],[Loan Amount]]</f>
        <v>739.08184349999999</v>
      </c>
      <c r="Y780">
        <v>13</v>
      </c>
      <c r="Z780" s="3">
        <v>826</v>
      </c>
      <c r="AA780" s="3" t="str">
        <f t="shared" si="88"/>
        <v>Excellent</v>
      </c>
      <c r="AB780" s="3" cm="1">
        <f t="array" ref="AB780">_xlfn.IFS(fin_table[[#This Row],[Transaction Status]]="Failed", 1, fin_table[[#This Row],[Transaction Status]]="Completed",0,fin_table[[#This Row],[Transaction Status]]="Pending",2)</f>
        <v>2</v>
      </c>
      <c r="AC780" s="3" t="str">
        <f>IF(fin_table[[#This Row],[Loan Defaulters]]=1,"Default", "Good")</f>
        <v>Good</v>
      </c>
      <c r="AD780" s="3">
        <f t="shared" si="89"/>
        <v>5</v>
      </c>
      <c r="AE780" s="4">
        <v>14363.43</v>
      </c>
      <c r="AF780" s="4" t="str">
        <f>IF(fin_table[[#This Row],[Monthly Income]]&lt;3000, "Low Income", IF(fin_table[[#This Row],[Monthly Income]]&lt;=5000, "Middle Income", "High Income"))</f>
        <v>High Income</v>
      </c>
      <c r="AG780" t="s">
        <v>63</v>
      </c>
      <c r="AH780" t="s">
        <v>3635</v>
      </c>
      <c r="AI780" t="str">
        <f t="shared" si="90"/>
        <v>Low-Risk</v>
      </c>
    </row>
    <row r="781" spans="1:35" x14ac:dyDescent="0.35">
      <c r="A781" t="s">
        <v>2866</v>
      </c>
      <c r="B781" t="s">
        <v>2867</v>
      </c>
      <c r="C781" t="s">
        <v>2868</v>
      </c>
      <c r="D781" s="1">
        <v>44836</v>
      </c>
      <c r="E781" s="1" t="str">
        <f t="shared" si="84"/>
        <v>02</v>
      </c>
      <c r="F781" s="1" t="str">
        <f t="shared" si="85"/>
        <v>Oct</v>
      </c>
      <c r="G781" s="6" t="s">
        <v>34</v>
      </c>
      <c r="H781" s="5">
        <v>8284.7900000000009</v>
      </c>
      <c r="I781" s="5" t="str">
        <f>IF(fin_table[[#This Row],[Account Balance]]&lt;20000,"Active", "Not Active")</f>
        <v>Active</v>
      </c>
      <c r="J781" s="5">
        <v>14999.28</v>
      </c>
      <c r="K781" s="5" t="str">
        <f t="shared" si="86"/>
        <v>Medium</v>
      </c>
      <c r="L781" s="6" t="s">
        <v>49</v>
      </c>
      <c r="M781">
        <v>37</v>
      </c>
      <c r="N781" s="6" t="str">
        <f t="shared" si="87"/>
        <v>Middle-Aged</v>
      </c>
      <c r="O781" s="6" t="s">
        <v>25</v>
      </c>
      <c r="P781" s="6" t="s">
        <v>26</v>
      </c>
      <c r="Q781" t="s">
        <v>959</v>
      </c>
      <c r="R781" s="6" t="s">
        <v>28</v>
      </c>
      <c r="S781" s="6" t="s">
        <v>44</v>
      </c>
      <c r="T781" s="14">
        <v>3.5299999999999998E-2</v>
      </c>
      <c r="U781">
        <v>3.53</v>
      </c>
      <c r="V781" t="str">
        <f>IF(fin_table[[#This Row],[Interest Rate(%)]]&gt;4,"high","low")</f>
        <v>low</v>
      </c>
      <c r="W781" s="5">
        <v>26681.654999999999</v>
      </c>
      <c r="X781" s="5">
        <f>fin_table[[#This Row],[Interest Rate]]*fin_table[[#This Row],[Loan Amount]]</f>
        <v>941.86242149999987</v>
      </c>
      <c r="Y781">
        <v>13</v>
      </c>
      <c r="Z781" s="3">
        <v>642</v>
      </c>
      <c r="AA781" s="3" t="str">
        <f t="shared" si="88"/>
        <v>Fair</v>
      </c>
      <c r="AB781" s="3" cm="1">
        <f t="array" ref="AB781">_xlfn.IFS(fin_table[[#This Row],[Transaction Status]]="Failed", 1, fin_table[[#This Row],[Transaction Status]]="Completed",0,fin_table[[#This Row],[Transaction Status]]="Pending",2)</f>
        <v>0</v>
      </c>
      <c r="AC781" s="3" t="str">
        <f>IF(fin_table[[#This Row],[Loan Defaulters]]=1,"Default", "Good")</f>
        <v>Good</v>
      </c>
      <c r="AD781" s="3">
        <f t="shared" si="89"/>
        <v>2</v>
      </c>
      <c r="AE781" s="4">
        <v>8312.91</v>
      </c>
      <c r="AF781" s="4" t="str">
        <f>IF(fin_table[[#This Row],[Monthly Income]]&lt;3000, "Low Income", IF(fin_table[[#This Row],[Monthly Income]]&lt;=5000, "Middle Income", "High Income"))</f>
        <v>High Income</v>
      </c>
      <c r="AG781" t="s">
        <v>45</v>
      </c>
      <c r="AH781" t="s">
        <v>3635</v>
      </c>
      <c r="AI781" t="str">
        <f t="shared" si="90"/>
        <v>Low-Risk</v>
      </c>
    </row>
    <row r="782" spans="1:35" x14ac:dyDescent="0.35">
      <c r="A782" t="s">
        <v>2869</v>
      </c>
      <c r="B782" t="s">
        <v>2870</v>
      </c>
      <c r="C782" t="s">
        <v>2871</v>
      </c>
      <c r="D782" s="1">
        <v>44592</v>
      </c>
      <c r="E782" s="1" t="str">
        <f t="shared" si="84"/>
        <v>31</v>
      </c>
      <c r="F782" s="1" t="str">
        <f t="shared" si="85"/>
        <v>Jan</v>
      </c>
      <c r="G782" s="6" t="s">
        <v>34</v>
      </c>
      <c r="H782" s="5">
        <v>571.65</v>
      </c>
      <c r="I782" s="5" t="str">
        <f>IF(fin_table[[#This Row],[Account Balance]]&lt;20000,"Active", "Not Active")</f>
        <v>Active</v>
      </c>
      <c r="J782" s="5">
        <v>5477.33</v>
      </c>
      <c r="K782" s="5" t="str">
        <f t="shared" si="86"/>
        <v>Low</v>
      </c>
      <c r="L782" s="6" t="s">
        <v>49</v>
      </c>
      <c r="M782">
        <v>42</v>
      </c>
      <c r="N782" s="6" t="str">
        <f t="shared" si="87"/>
        <v>Middle-Aged</v>
      </c>
      <c r="O782" s="6" t="s">
        <v>25</v>
      </c>
      <c r="P782" s="6" t="s">
        <v>50</v>
      </c>
      <c r="Q782" t="s">
        <v>2105</v>
      </c>
      <c r="R782" s="6" t="s">
        <v>38</v>
      </c>
      <c r="S782" s="6" t="s">
        <v>62</v>
      </c>
      <c r="T782" s="14">
        <v>4.4499999999999998E-2</v>
      </c>
      <c r="U782">
        <v>4.45</v>
      </c>
      <c r="V782" t="str">
        <f>IF(fin_table[[#This Row],[Interest Rate(%)]]&gt;4,"high","low")</f>
        <v>high</v>
      </c>
      <c r="W782" s="5">
        <v>49969.85</v>
      </c>
      <c r="X782" s="5">
        <f>fin_table[[#This Row],[Interest Rate]]*fin_table[[#This Row],[Loan Amount]]</f>
        <v>2223.6583249999999</v>
      </c>
      <c r="Y782">
        <v>2</v>
      </c>
      <c r="Z782" s="3">
        <v>501</v>
      </c>
      <c r="AA782" s="3" t="str">
        <f t="shared" si="88"/>
        <v>Poor</v>
      </c>
      <c r="AB782" s="3" cm="1">
        <f t="array" ref="AB782">_xlfn.IFS(fin_table[[#This Row],[Transaction Status]]="Failed", 1, fin_table[[#This Row],[Transaction Status]]="Completed",0,fin_table[[#This Row],[Transaction Status]]="Pending",2)</f>
        <v>2</v>
      </c>
      <c r="AC782" s="3" t="str">
        <f>IF(fin_table[[#This Row],[Loan Defaulters]]=1,"Default", "Good")</f>
        <v>Good</v>
      </c>
      <c r="AD782" s="3">
        <f t="shared" si="89"/>
        <v>1</v>
      </c>
      <c r="AE782" s="4">
        <v>8060.47</v>
      </c>
      <c r="AF782" s="4" t="str">
        <f>IF(fin_table[[#This Row],[Monthly Income]]&lt;3000, "Low Income", IF(fin_table[[#This Row],[Monthly Income]]&lt;=5000, "Middle Income", "High Income"))</f>
        <v>High Income</v>
      </c>
      <c r="AG782" t="s">
        <v>63</v>
      </c>
      <c r="AH782" t="s">
        <v>3636</v>
      </c>
      <c r="AI782" t="str">
        <f t="shared" si="90"/>
        <v>High-Risk</v>
      </c>
    </row>
    <row r="783" spans="1:35" x14ac:dyDescent="0.35">
      <c r="A783" t="s">
        <v>2872</v>
      </c>
      <c r="B783" t="s">
        <v>2873</v>
      </c>
      <c r="C783" t="s">
        <v>2874</v>
      </c>
      <c r="D783" s="1">
        <v>44845</v>
      </c>
      <c r="E783" s="1" t="str">
        <f t="shared" si="84"/>
        <v>11</v>
      </c>
      <c r="F783" s="1" t="str">
        <f t="shared" si="85"/>
        <v>Oct</v>
      </c>
      <c r="G783" s="6" t="s">
        <v>23</v>
      </c>
      <c r="H783" s="5">
        <v>7294.82</v>
      </c>
      <c r="I783" s="5" t="str">
        <f>IF(fin_table[[#This Row],[Account Balance]]&lt;20000,"Active", "Not Active")</f>
        <v>Active</v>
      </c>
      <c r="J783" s="5">
        <v>16426.47</v>
      </c>
      <c r="K783" s="5" t="str">
        <f t="shared" si="86"/>
        <v>Medium</v>
      </c>
      <c r="L783" s="6" t="s">
        <v>49</v>
      </c>
      <c r="M783">
        <v>45</v>
      </c>
      <c r="N783" s="6" t="str">
        <f t="shared" si="87"/>
        <v>Middle-Aged</v>
      </c>
      <c r="O783" s="6" t="s">
        <v>42</v>
      </c>
      <c r="P783" s="6" t="s">
        <v>50</v>
      </c>
      <c r="Q783" t="s">
        <v>2585</v>
      </c>
      <c r="R783" s="6" t="s">
        <v>52</v>
      </c>
      <c r="S783" s="6" t="s">
        <v>44</v>
      </c>
      <c r="T783" s="14">
        <v>1.32E-2</v>
      </c>
      <c r="U783">
        <v>1.32</v>
      </c>
      <c r="V783" t="str">
        <f>IF(fin_table[[#This Row],[Interest Rate(%)]]&gt;4,"high","low")</f>
        <v>low</v>
      </c>
      <c r="W783" s="5">
        <v>26681.654999999999</v>
      </c>
      <c r="X783" s="5">
        <f>fin_table[[#This Row],[Interest Rate]]*fin_table[[#This Row],[Loan Amount]]</f>
        <v>352.19784599999997</v>
      </c>
      <c r="Y783">
        <v>13</v>
      </c>
      <c r="Z783" s="3">
        <v>419</v>
      </c>
      <c r="AA783" s="3" t="str">
        <f t="shared" si="88"/>
        <v>Poor</v>
      </c>
      <c r="AB783" s="3" cm="1">
        <f t="array" ref="AB783">_xlfn.IFS(fin_table[[#This Row],[Transaction Status]]="Failed", 1, fin_table[[#This Row],[Transaction Status]]="Completed",0,fin_table[[#This Row],[Transaction Status]]="Pending",2)</f>
        <v>0</v>
      </c>
      <c r="AC783" s="3" t="str">
        <f>IF(fin_table[[#This Row],[Loan Defaulters]]=1,"Default", "Good")</f>
        <v>Good</v>
      </c>
      <c r="AD783" s="3">
        <f t="shared" si="89"/>
        <v>1</v>
      </c>
      <c r="AE783" s="4">
        <v>10509.6</v>
      </c>
      <c r="AF783" s="4" t="str">
        <f>IF(fin_table[[#This Row],[Monthly Income]]&lt;3000, "Low Income", IF(fin_table[[#This Row],[Monthly Income]]&lt;=5000, "Middle Income", "High Income"))</f>
        <v>High Income</v>
      </c>
      <c r="AG783" t="s">
        <v>30</v>
      </c>
      <c r="AH783" t="s">
        <v>3635</v>
      </c>
      <c r="AI783" t="str">
        <f t="shared" si="90"/>
        <v>Low-Risk</v>
      </c>
    </row>
    <row r="784" spans="1:35" x14ac:dyDescent="0.35">
      <c r="A784" t="s">
        <v>2875</v>
      </c>
      <c r="B784" t="s">
        <v>2876</v>
      </c>
      <c r="C784" t="s">
        <v>2877</v>
      </c>
      <c r="D784" s="1">
        <v>44645</v>
      </c>
      <c r="E784" s="1" t="str">
        <f t="shared" si="84"/>
        <v>25</v>
      </c>
      <c r="F784" s="1" t="str">
        <f t="shared" si="85"/>
        <v>Mar</v>
      </c>
      <c r="G784" s="6" t="s">
        <v>56</v>
      </c>
      <c r="H784" s="5">
        <v>7761.67</v>
      </c>
      <c r="I784" s="5" t="str">
        <f>IF(fin_table[[#This Row],[Account Balance]]&lt;20000,"Active", "Not Active")</f>
        <v>Active</v>
      </c>
      <c r="J784" s="5">
        <v>3109.57</v>
      </c>
      <c r="K784" s="5" t="str">
        <f t="shared" si="86"/>
        <v>Low</v>
      </c>
      <c r="L784" s="6" t="s">
        <v>100</v>
      </c>
      <c r="M784">
        <v>29</v>
      </c>
      <c r="N784" s="6" t="str">
        <f t="shared" si="87"/>
        <v>Adults</v>
      </c>
      <c r="O784" s="6" t="s">
        <v>42</v>
      </c>
      <c r="P784" s="6" t="s">
        <v>26</v>
      </c>
      <c r="Q784" t="s">
        <v>2878</v>
      </c>
      <c r="R784" s="6" t="s">
        <v>52</v>
      </c>
      <c r="S784" s="6" t="s">
        <v>62</v>
      </c>
      <c r="T784" s="14">
        <v>4.1099999999999998E-2</v>
      </c>
      <c r="U784">
        <v>4.1100000000000003</v>
      </c>
      <c r="V784" t="str">
        <f>IF(fin_table[[#This Row],[Interest Rate(%)]]&gt;4,"high","low")</f>
        <v>high</v>
      </c>
      <c r="W784" s="5">
        <v>26681.654999999999</v>
      </c>
      <c r="X784" s="5">
        <f>fin_table[[#This Row],[Interest Rate]]*fin_table[[#This Row],[Loan Amount]]</f>
        <v>1096.6160204999999</v>
      </c>
      <c r="Y784">
        <v>22</v>
      </c>
      <c r="Z784" s="3">
        <v>688</v>
      </c>
      <c r="AA784" s="3" t="str">
        <f t="shared" si="88"/>
        <v>Good</v>
      </c>
      <c r="AB784" s="3" cm="1">
        <f t="array" ref="AB784">_xlfn.IFS(fin_table[[#This Row],[Transaction Status]]="Failed", 1, fin_table[[#This Row],[Transaction Status]]="Completed",0,fin_table[[#This Row],[Transaction Status]]="Pending",2)</f>
        <v>2</v>
      </c>
      <c r="AC784" s="3" t="str">
        <f>IF(fin_table[[#This Row],[Loan Defaulters]]=1,"Default", "Good")</f>
        <v>Good</v>
      </c>
      <c r="AD784" s="3">
        <f t="shared" si="89"/>
        <v>3</v>
      </c>
      <c r="AE784" s="4">
        <v>3345.47</v>
      </c>
      <c r="AF784" s="4" t="str">
        <f>IF(fin_table[[#This Row],[Monthly Income]]&lt;3000, "Low Income", IF(fin_table[[#This Row],[Monthly Income]]&lt;=5000, "Middle Income", "High Income"))</f>
        <v>Middle Income</v>
      </c>
      <c r="AG784" t="s">
        <v>63</v>
      </c>
      <c r="AH784" t="s">
        <v>3635</v>
      </c>
      <c r="AI784" t="str">
        <f t="shared" si="90"/>
        <v>Low-Risk</v>
      </c>
    </row>
    <row r="785" spans="1:35" x14ac:dyDescent="0.35">
      <c r="A785" t="s">
        <v>2879</v>
      </c>
      <c r="B785" t="s">
        <v>2880</v>
      </c>
      <c r="C785" t="s">
        <v>2881</v>
      </c>
      <c r="D785" s="1">
        <v>44772</v>
      </c>
      <c r="E785" s="1" t="str">
        <f t="shared" si="84"/>
        <v>30</v>
      </c>
      <c r="F785" s="1" t="str">
        <f t="shared" si="85"/>
        <v>Jul</v>
      </c>
      <c r="G785" s="6" t="s">
        <v>56</v>
      </c>
      <c r="H785" s="5">
        <v>3590.77</v>
      </c>
      <c r="I785" s="5" t="str">
        <f>IF(fin_table[[#This Row],[Account Balance]]&lt;20000,"Active", "Not Active")</f>
        <v>Not Active</v>
      </c>
      <c r="J785" s="5">
        <v>39267.230000000003</v>
      </c>
      <c r="K785" s="5" t="str">
        <f t="shared" si="86"/>
        <v>Medium</v>
      </c>
      <c r="L785" s="6" t="s">
        <v>35</v>
      </c>
      <c r="M785">
        <v>19</v>
      </c>
      <c r="N785" s="6" t="str">
        <f t="shared" si="87"/>
        <v>Young Adults</v>
      </c>
      <c r="O785" s="6" t="s">
        <v>25</v>
      </c>
      <c r="P785" s="6" t="s">
        <v>50</v>
      </c>
      <c r="Q785" t="s">
        <v>27</v>
      </c>
      <c r="R785" s="6" t="s">
        <v>28</v>
      </c>
      <c r="S785" s="6" t="s">
        <v>62</v>
      </c>
      <c r="T785" s="14">
        <v>2.9700000000000001E-2</v>
      </c>
      <c r="U785">
        <v>2.97</v>
      </c>
      <c r="V785" t="str">
        <f>IF(fin_table[[#This Row],[Interest Rate(%)]]&gt;4,"high","low")</f>
        <v>low</v>
      </c>
      <c r="W785" s="5">
        <v>38281.39</v>
      </c>
      <c r="X785" s="5">
        <f>fin_table[[#This Row],[Interest Rate]]*fin_table[[#This Row],[Loan Amount]]</f>
        <v>1136.957283</v>
      </c>
      <c r="Y785">
        <v>3</v>
      </c>
      <c r="Z785" s="3">
        <v>836</v>
      </c>
      <c r="AA785" s="3" t="str">
        <f t="shared" si="88"/>
        <v>Excellent</v>
      </c>
      <c r="AB785" s="3" cm="1">
        <f t="array" ref="AB785">_xlfn.IFS(fin_table[[#This Row],[Transaction Status]]="Failed", 1, fin_table[[#This Row],[Transaction Status]]="Completed",0,fin_table[[#This Row],[Transaction Status]]="Pending",2)</f>
        <v>2</v>
      </c>
      <c r="AC785" s="3" t="str">
        <f>IF(fin_table[[#This Row],[Loan Defaulters]]=1,"Default", "Good")</f>
        <v>Good</v>
      </c>
      <c r="AD785" s="3">
        <f t="shared" si="89"/>
        <v>5</v>
      </c>
      <c r="AE785" s="4">
        <v>5295.58</v>
      </c>
      <c r="AF785" s="4" t="str">
        <f>IF(fin_table[[#This Row],[Monthly Income]]&lt;3000, "Low Income", IF(fin_table[[#This Row],[Monthly Income]]&lt;=5000, "Middle Income", "High Income"))</f>
        <v>High Income</v>
      </c>
      <c r="AG785" t="s">
        <v>30</v>
      </c>
      <c r="AH785" t="s">
        <v>3636</v>
      </c>
      <c r="AI785" t="str">
        <f t="shared" si="90"/>
        <v>Low-Risk</v>
      </c>
    </row>
    <row r="786" spans="1:35" x14ac:dyDescent="0.35">
      <c r="A786" t="s">
        <v>2882</v>
      </c>
      <c r="B786" t="s">
        <v>2883</v>
      </c>
      <c r="C786" t="s">
        <v>2884</v>
      </c>
      <c r="D786" s="1">
        <v>44954</v>
      </c>
      <c r="E786" s="1" t="str">
        <f t="shared" si="84"/>
        <v>28</v>
      </c>
      <c r="F786" s="1" t="str">
        <f t="shared" si="85"/>
        <v>Jan</v>
      </c>
      <c r="G786" s="6" t="s">
        <v>56</v>
      </c>
      <c r="H786" s="5">
        <v>8265.4</v>
      </c>
      <c r="I786" s="5" t="str">
        <f>IF(fin_table[[#This Row],[Account Balance]]&lt;20000,"Active", "Not Active")</f>
        <v>Not Active</v>
      </c>
      <c r="J786" s="5">
        <v>20513.16</v>
      </c>
      <c r="K786" s="5" t="str">
        <f t="shared" si="86"/>
        <v>Medium</v>
      </c>
      <c r="L786" s="6" t="s">
        <v>49</v>
      </c>
      <c r="M786">
        <v>60</v>
      </c>
      <c r="N786" s="6" t="str">
        <f t="shared" si="87"/>
        <v>Older Adults</v>
      </c>
      <c r="O786" s="6" t="s">
        <v>25</v>
      </c>
      <c r="P786" s="6" t="s">
        <v>50</v>
      </c>
      <c r="Q786" t="s">
        <v>2885</v>
      </c>
      <c r="R786" s="6" t="s">
        <v>28</v>
      </c>
      <c r="S786" s="6" t="s">
        <v>62</v>
      </c>
      <c r="T786" s="14">
        <v>3.2599999999999997E-2</v>
      </c>
      <c r="U786">
        <v>3.26</v>
      </c>
      <c r="V786" t="str">
        <f>IF(fin_table[[#This Row],[Interest Rate(%)]]&gt;4,"high","low")</f>
        <v>low</v>
      </c>
      <c r="W786" s="5">
        <v>16142.85</v>
      </c>
      <c r="X786" s="5">
        <f>fin_table[[#This Row],[Interest Rate]]*fin_table[[#This Row],[Loan Amount]]</f>
        <v>526.25690999999995</v>
      </c>
      <c r="Y786">
        <v>13</v>
      </c>
      <c r="Z786" s="3">
        <v>533</v>
      </c>
      <c r="AA786" s="3" t="str">
        <f t="shared" si="88"/>
        <v>Poor</v>
      </c>
      <c r="AB786" s="3" cm="1">
        <f t="array" ref="AB786">_xlfn.IFS(fin_table[[#This Row],[Transaction Status]]="Failed", 1, fin_table[[#This Row],[Transaction Status]]="Completed",0,fin_table[[#This Row],[Transaction Status]]="Pending",2)</f>
        <v>2</v>
      </c>
      <c r="AC786" s="3" t="str">
        <f>IF(fin_table[[#This Row],[Loan Defaulters]]=1,"Default", "Good")</f>
        <v>Good</v>
      </c>
      <c r="AD786" s="3">
        <f t="shared" si="89"/>
        <v>1</v>
      </c>
      <c r="AE786" s="4">
        <v>13946.73</v>
      </c>
      <c r="AF786" s="4" t="str">
        <f>IF(fin_table[[#This Row],[Monthly Income]]&lt;3000, "Low Income", IF(fin_table[[#This Row],[Monthly Income]]&lt;=5000, "Middle Income", "High Income"))</f>
        <v>High Income</v>
      </c>
      <c r="AG786" t="s">
        <v>63</v>
      </c>
      <c r="AH786" t="s">
        <v>3636</v>
      </c>
      <c r="AI786" t="str">
        <f t="shared" si="90"/>
        <v>Low-Risk</v>
      </c>
    </row>
    <row r="787" spans="1:35" x14ac:dyDescent="0.35">
      <c r="A787" t="s">
        <v>2886</v>
      </c>
      <c r="B787" t="s">
        <v>2887</v>
      </c>
      <c r="C787" t="s">
        <v>2888</v>
      </c>
      <c r="D787" s="1">
        <v>44890</v>
      </c>
      <c r="E787" s="1" t="str">
        <f t="shared" si="84"/>
        <v>25</v>
      </c>
      <c r="F787" s="1" t="str">
        <f t="shared" si="85"/>
        <v>Nov</v>
      </c>
      <c r="G787" s="6" t="s">
        <v>23</v>
      </c>
      <c r="H787" s="5">
        <v>5205.03</v>
      </c>
      <c r="I787" s="5" t="str">
        <f>IF(fin_table[[#This Row],[Account Balance]]&lt;20000,"Active", "Not Active")</f>
        <v>Not Active</v>
      </c>
      <c r="J787" s="5">
        <v>22751.29</v>
      </c>
      <c r="K787" s="5" t="str">
        <f t="shared" si="86"/>
        <v>Medium</v>
      </c>
      <c r="L787" s="6" t="s">
        <v>35</v>
      </c>
      <c r="M787">
        <v>31</v>
      </c>
      <c r="N787" s="6" t="str">
        <f t="shared" si="87"/>
        <v>Adults</v>
      </c>
      <c r="O787" s="6" t="s">
        <v>42</v>
      </c>
      <c r="P787" s="6" t="s">
        <v>26</v>
      </c>
      <c r="Q787" t="s">
        <v>2889</v>
      </c>
      <c r="R787" s="6" t="s">
        <v>28</v>
      </c>
      <c r="S787" s="6" t="s">
        <v>44</v>
      </c>
      <c r="T787" s="14">
        <v>3.6200000000000003E-2</v>
      </c>
      <c r="U787">
        <v>3.62</v>
      </c>
      <c r="V787" t="str">
        <f>IF(fin_table[[#This Row],[Interest Rate(%)]]&gt;4,"high","low")</f>
        <v>low</v>
      </c>
      <c r="W787" s="5">
        <v>42509.279999999999</v>
      </c>
      <c r="X787" s="5">
        <f>fin_table[[#This Row],[Interest Rate]]*fin_table[[#This Row],[Loan Amount]]</f>
        <v>1538.8359360000002</v>
      </c>
      <c r="Y787">
        <v>1</v>
      </c>
      <c r="Z787" s="3">
        <v>619</v>
      </c>
      <c r="AA787" s="3" t="str">
        <f t="shared" si="88"/>
        <v>Fair</v>
      </c>
      <c r="AB787" s="3" cm="1">
        <f t="array" ref="AB787">_xlfn.IFS(fin_table[[#This Row],[Transaction Status]]="Failed", 1, fin_table[[#This Row],[Transaction Status]]="Completed",0,fin_table[[#This Row],[Transaction Status]]="Pending",2)</f>
        <v>0</v>
      </c>
      <c r="AC787" s="3" t="str">
        <f>IF(fin_table[[#This Row],[Loan Defaulters]]=1,"Default", "Good")</f>
        <v>Good</v>
      </c>
      <c r="AD787" s="3">
        <f t="shared" si="89"/>
        <v>2</v>
      </c>
      <c r="AE787" s="4">
        <v>10709.25</v>
      </c>
      <c r="AF787" s="4" t="str">
        <f>IF(fin_table[[#This Row],[Monthly Income]]&lt;3000, "Low Income", IF(fin_table[[#This Row],[Monthly Income]]&lt;=5000, "Middle Income", "High Income"))</f>
        <v>High Income</v>
      </c>
      <c r="AG787" t="s">
        <v>63</v>
      </c>
      <c r="AH787" t="s">
        <v>3636</v>
      </c>
      <c r="AI787" t="str">
        <f t="shared" si="90"/>
        <v>Low-Risk</v>
      </c>
    </row>
    <row r="788" spans="1:35" x14ac:dyDescent="0.35">
      <c r="A788" t="s">
        <v>2890</v>
      </c>
      <c r="B788" t="s">
        <v>2891</v>
      </c>
      <c r="C788" t="s">
        <v>2892</v>
      </c>
      <c r="D788" s="1">
        <v>44739</v>
      </c>
      <c r="E788" s="1" t="str">
        <f t="shared" si="84"/>
        <v>27</v>
      </c>
      <c r="F788" s="1" t="str">
        <f t="shared" si="85"/>
        <v>Jun</v>
      </c>
      <c r="G788" s="6" t="s">
        <v>34</v>
      </c>
      <c r="H788" s="5">
        <v>4686.6099999999997</v>
      </c>
      <c r="I788" s="5" t="str">
        <f>IF(fin_table[[#This Row],[Account Balance]]&lt;20000,"Active", "Not Active")</f>
        <v>Not Active</v>
      </c>
      <c r="J788" s="5">
        <v>44786.13</v>
      </c>
      <c r="K788" s="5" t="str">
        <f t="shared" si="86"/>
        <v>Medium</v>
      </c>
      <c r="L788" s="6" t="s">
        <v>100</v>
      </c>
      <c r="M788">
        <v>39</v>
      </c>
      <c r="N788" s="6" t="str">
        <f t="shared" si="87"/>
        <v>Middle-Aged</v>
      </c>
      <c r="O788" s="6" t="s">
        <v>25</v>
      </c>
      <c r="P788" s="6" t="s">
        <v>50</v>
      </c>
      <c r="Q788" t="s">
        <v>2893</v>
      </c>
      <c r="R788" s="6" t="s">
        <v>52</v>
      </c>
      <c r="S788" s="6" t="s">
        <v>62</v>
      </c>
      <c r="T788" s="14">
        <v>4.6899999999999997E-2</v>
      </c>
      <c r="U788">
        <v>4.6900000000000004</v>
      </c>
      <c r="V788" t="str">
        <f>IF(fin_table[[#This Row],[Interest Rate(%)]]&gt;4,"high","low")</f>
        <v>high</v>
      </c>
      <c r="W788" s="5">
        <v>26681.654999999999</v>
      </c>
      <c r="X788" s="5">
        <f>fin_table[[#This Row],[Interest Rate]]*fin_table[[#This Row],[Loan Amount]]</f>
        <v>1251.3696194999998</v>
      </c>
      <c r="Y788">
        <v>13</v>
      </c>
      <c r="Z788" s="3">
        <v>479</v>
      </c>
      <c r="AA788" s="3" t="str">
        <f t="shared" si="88"/>
        <v>Poor</v>
      </c>
      <c r="AB788" s="3" cm="1">
        <f t="array" ref="AB788">_xlfn.IFS(fin_table[[#This Row],[Transaction Status]]="Failed", 1, fin_table[[#This Row],[Transaction Status]]="Completed",0,fin_table[[#This Row],[Transaction Status]]="Pending",2)</f>
        <v>2</v>
      </c>
      <c r="AC788" s="3" t="str">
        <f>IF(fin_table[[#This Row],[Loan Defaulters]]=1,"Default", "Good")</f>
        <v>Good</v>
      </c>
      <c r="AD788" s="3">
        <f t="shared" si="89"/>
        <v>1</v>
      </c>
      <c r="AE788" s="4">
        <v>2174.77</v>
      </c>
      <c r="AF788" s="4" t="str">
        <f>IF(fin_table[[#This Row],[Monthly Income]]&lt;3000, "Low Income", IF(fin_table[[#This Row],[Monthly Income]]&lt;=5000, "Middle Income", "High Income"))</f>
        <v>Low Income</v>
      </c>
      <c r="AG788" t="s">
        <v>45</v>
      </c>
      <c r="AH788" t="s">
        <v>3635</v>
      </c>
      <c r="AI788" t="str">
        <f t="shared" si="90"/>
        <v>Low-Risk</v>
      </c>
    </row>
    <row r="789" spans="1:35" x14ac:dyDescent="0.35">
      <c r="A789" t="s">
        <v>2894</v>
      </c>
      <c r="B789" t="s">
        <v>2895</v>
      </c>
      <c r="C789" t="s">
        <v>2896</v>
      </c>
      <c r="D789" s="1">
        <v>45085</v>
      </c>
      <c r="E789" s="1" t="str">
        <f t="shared" si="84"/>
        <v>08</v>
      </c>
      <c r="F789" s="1" t="str">
        <f t="shared" si="85"/>
        <v>Jun</v>
      </c>
      <c r="G789" s="6" t="s">
        <v>23</v>
      </c>
      <c r="H789" s="5">
        <v>549.49</v>
      </c>
      <c r="I789" s="5" t="str">
        <f>IF(fin_table[[#This Row],[Account Balance]]&lt;20000,"Active", "Not Active")</f>
        <v>Not Active</v>
      </c>
      <c r="J789" s="5">
        <v>33244.69</v>
      </c>
      <c r="K789" s="5" t="str">
        <f t="shared" si="86"/>
        <v>Medium</v>
      </c>
      <c r="L789" s="6" t="s">
        <v>35</v>
      </c>
      <c r="M789">
        <v>48</v>
      </c>
      <c r="N789" s="6" t="str">
        <f t="shared" si="87"/>
        <v>Older Adults</v>
      </c>
      <c r="O789" s="6" t="s">
        <v>25</v>
      </c>
      <c r="P789" s="6" t="s">
        <v>50</v>
      </c>
      <c r="Q789" t="s">
        <v>355</v>
      </c>
      <c r="R789" s="6" t="s">
        <v>38</v>
      </c>
      <c r="S789" s="6" t="s">
        <v>29</v>
      </c>
      <c r="T789" s="14">
        <v>1.23E-2</v>
      </c>
      <c r="U789">
        <v>1.23</v>
      </c>
      <c r="V789" t="str">
        <f>IF(fin_table[[#This Row],[Interest Rate(%)]]&gt;4,"high","low")</f>
        <v>low</v>
      </c>
      <c r="W789" s="5">
        <v>26681.654999999999</v>
      </c>
      <c r="X789" s="5">
        <f>fin_table[[#This Row],[Interest Rate]]*fin_table[[#This Row],[Loan Amount]]</f>
        <v>328.18435649999998</v>
      </c>
      <c r="Y789">
        <v>1</v>
      </c>
      <c r="Z789" s="3">
        <v>667</v>
      </c>
      <c r="AA789" s="3" t="str">
        <f t="shared" si="88"/>
        <v>Fair</v>
      </c>
      <c r="AB789" s="3" cm="1">
        <f t="array" ref="AB789">_xlfn.IFS(fin_table[[#This Row],[Transaction Status]]="Failed", 1, fin_table[[#This Row],[Transaction Status]]="Completed",0,fin_table[[#This Row],[Transaction Status]]="Pending",2)</f>
        <v>1</v>
      </c>
      <c r="AC789" s="3" t="str">
        <f>IF(fin_table[[#This Row],[Loan Defaulters]]=1,"Default", "Good")</f>
        <v>Default</v>
      </c>
      <c r="AD789" s="3">
        <f t="shared" si="89"/>
        <v>2</v>
      </c>
      <c r="AE789" s="4">
        <v>4660.13</v>
      </c>
      <c r="AF789" s="4" t="str">
        <f>IF(fin_table[[#This Row],[Monthly Income]]&lt;3000, "Low Income", IF(fin_table[[#This Row],[Monthly Income]]&lt;=5000, "Middle Income", "High Income"))</f>
        <v>Middle Income</v>
      </c>
      <c r="AG789" t="s">
        <v>63</v>
      </c>
      <c r="AH789" t="s">
        <v>3635</v>
      </c>
      <c r="AI789" t="str">
        <f t="shared" si="90"/>
        <v>Low-Risk</v>
      </c>
    </row>
    <row r="790" spans="1:35" x14ac:dyDescent="0.35">
      <c r="A790" t="s">
        <v>2897</v>
      </c>
      <c r="B790" t="s">
        <v>2898</v>
      </c>
      <c r="C790" t="s">
        <v>2899</v>
      </c>
      <c r="D790" s="1">
        <v>45046</v>
      </c>
      <c r="E790" s="1" t="str">
        <f t="shared" si="84"/>
        <v>30</v>
      </c>
      <c r="F790" s="1" t="str">
        <f t="shared" si="85"/>
        <v>Apr</v>
      </c>
      <c r="G790" s="6" t="s">
        <v>34</v>
      </c>
      <c r="H790" s="5">
        <v>2971.29</v>
      </c>
      <c r="I790" s="5" t="str">
        <f>IF(fin_table[[#This Row],[Account Balance]]&lt;20000,"Active", "Not Active")</f>
        <v>Active</v>
      </c>
      <c r="J790" s="5">
        <v>1394.9</v>
      </c>
      <c r="K790" s="5" t="str">
        <f t="shared" si="86"/>
        <v>Low</v>
      </c>
      <c r="L790" s="6" t="s">
        <v>125</v>
      </c>
      <c r="M790">
        <v>40</v>
      </c>
      <c r="N790" s="6" t="str">
        <f t="shared" si="87"/>
        <v>Middle-Aged</v>
      </c>
      <c r="O790" s="6" t="s">
        <v>42</v>
      </c>
      <c r="P790" s="6" t="s">
        <v>26</v>
      </c>
      <c r="Q790" t="s">
        <v>2900</v>
      </c>
      <c r="R790" s="6" t="s">
        <v>38</v>
      </c>
      <c r="S790" s="6" t="s">
        <v>29</v>
      </c>
      <c r="T790" s="14">
        <v>1.12E-2</v>
      </c>
      <c r="U790">
        <v>1.1200000000000001</v>
      </c>
      <c r="V790" t="str">
        <f>IF(fin_table[[#This Row],[Interest Rate(%)]]&gt;4,"high","low")</f>
        <v>low</v>
      </c>
      <c r="W790" s="5">
        <v>8664.25</v>
      </c>
      <c r="X790" s="5">
        <f>fin_table[[#This Row],[Interest Rate]]*fin_table[[#This Row],[Loan Amount]]</f>
        <v>97.039599999999993</v>
      </c>
      <c r="Y790">
        <v>13</v>
      </c>
      <c r="Z790" s="3">
        <v>375</v>
      </c>
      <c r="AA790" s="3" t="str">
        <f t="shared" si="88"/>
        <v>Poor</v>
      </c>
      <c r="AB790" s="3" cm="1">
        <f t="array" ref="AB790">_xlfn.IFS(fin_table[[#This Row],[Transaction Status]]="Failed", 1, fin_table[[#This Row],[Transaction Status]]="Completed",0,fin_table[[#This Row],[Transaction Status]]="Pending",2)</f>
        <v>1</v>
      </c>
      <c r="AC790" s="3" t="str">
        <f>IF(fin_table[[#This Row],[Loan Defaulters]]=1,"Default", "Good")</f>
        <v>Default</v>
      </c>
      <c r="AD790" s="3">
        <f t="shared" si="89"/>
        <v>1</v>
      </c>
      <c r="AE790" s="4">
        <v>10876.88</v>
      </c>
      <c r="AF790" s="4" t="str">
        <f>IF(fin_table[[#This Row],[Monthly Income]]&lt;3000, "Low Income", IF(fin_table[[#This Row],[Monthly Income]]&lt;=5000, "Middle Income", "High Income"))</f>
        <v>High Income</v>
      </c>
      <c r="AG790" t="s">
        <v>63</v>
      </c>
      <c r="AH790" t="s">
        <v>3636</v>
      </c>
      <c r="AI790" t="str">
        <f t="shared" si="90"/>
        <v>Low-Risk</v>
      </c>
    </row>
    <row r="791" spans="1:35" x14ac:dyDescent="0.35">
      <c r="A791" t="s">
        <v>2901</v>
      </c>
      <c r="B791" t="s">
        <v>2902</v>
      </c>
      <c r="C791" t="s">
        <v>2903</v>
      </c>
      <c r="D791" s="1">
        <v>44591</v>
      </c>
      <c r="E791" s="1" t="str">
        <f t="shared" si="84"/>
        <v>30</v>
      </c>
      <c r="F791" s="1" t="str">
        <f t="shared" si="85"/>
        <v>Jan</v>
      </c>
      <c r="G791" s="6" t="s">
        <v>23</v>
      </c>
      <c r="H791" s="5">
        <v>9317</v>
      </c>
      <c r="I791" s="5" t="str">
        <f>IF(fin_table[[#This Row],[Account Balance]]&lt;20000,"Active", "Not Active")</f>
        <v>Not Active</v>
      </c>
      <c r="J791" s="5">
        <v>47215.57</v>
      </c>
      <c r="K791" s="5" t="str">
        <f t="shared" si="86"/>
        <v>Medium</v>
      </c>
      <c r="L791" s="6" t="s">
        <v>35</v>
      </c>
      <c r="M791">
        <v>65</v>
      </c>
      <c r="N791" s="6" t="str">
        <f t="shared" si="87"/>
        <v>Seniors</v>
      </c>
      <c r="O791" s="6" t="s">
        <v>42</v>
      </c>
      <c r="P791" s="6" t="s">
        <v>36</v>
      </c>
      <c r="Q791" t="s">
        <v>1213</v>
      </c>
      <c r="R791" s="6" t="s">
        <v>28</v>
      </c>
      <c r="S791" s="6" t="s">
        <v>44</v>
      </c>
      <c r="T791" s="14">
        <v>1.7100000000000001E-2</v>
      </c>
      <c r="U791">
        <v>1.71</v>
      </c>
      <c r="V791" t="str">
        <f>IF(fin_table[[#This Row],[Interest Rate(%)]]&gt;4,"high","low")</f>
        <v>low</v>
      </c>
      <c r="W791" s="5">
        <v>26681.654999999999</v>
      </c>
      <c r="X791" s="5">
        <f>fin_table[[#This Row],[Interest Rate]]*fin_table[[#This Row],[Loan Amount]]</f>
        <v>456.25630050000001</v>
      </c>
      <c r="Y791">
        <v>13</v>
      </c>
      <c r="Z791" s="3">
        <v>795</v>
      </c>
      <c r="AA791" s="3" t="str">
        <f t="shared" si="88"/>
        <v>Very Good</v>
      </c>
      <c r="AB791" s="3" cm="1">
        <f t="array" ref="AB791">_xlfn.IFS(fin_table[[#This Row],[Transaction Status]]="Failed", 1, fin_table[[#This Row],[Transaction Status]]="Completed",0,fin_table[[#This Row],[Transaction Status]]="Pending",2)</f>
        <v>0</v>
      </c>
      <c r="AC791" s="3" t="str">
        <f>IF(fin_table[[#This Row],[Loan Defaulters]]=1,"Default", "Good")</f>
        <v>Good</v>
      </c>
      <c r="AD791" s="3">
        <f t="shared" si="89"/>
        <v>4</v>
      </c>
      <c r="AE791" s="4">
        <v>11937.19</v>
      </c>
      <c r="AF791" s="4" t="str">
        <f>IF(fin_table[[#This Row],[Monthly Income]]&lt;3000, "Low Income", IF(fin_table[[#This Row],[Monthly Income]]&lt;=5000, "Middle Income", "High Income"))</f>
        <v>High Income</v>
      </c>
      <c r="AG791" t="s">
        <v>63</v>
      </c>
      <c r="AH791" t="s">
        <v>3635</v>
      </c>
      <c r="AI791" t="str">
        <f t="shared" si="90"/>
        <v>Low-Risk</v>
      </c>
    </row>
    <row r="792" spans="1:35" x14ac:dyDescent="0.35">
      <c r="A792" t="s">
        <v>2904</v>
      </c>
      <c r="B792" t="s">
        <v>2905</v>
      </c>
      <c r="C792" t="s">
        <v>2906</v>
      </c>
      <c r="D792" s="1">
        <v>44827</v>
      </c>
      <c r="E792" s="1" t="str">
        <f t="shared" si="84"/>
        <v>23</v>
      </c>
      <c r="F792" s="1" t="str">
        <f t="shared" si="85"/>
        <v>Sep</v>
      </c>
      <c r="G792" s="6" t="s">
        <v>23</v>
      </c>
      <c r="H792" s="5">
        <v>3979.06</v>
      </c>
      <c r="I792" s="5" t="str">
        <f>IF(fin_table[[#This Row],[Account Balance]]&lt;20000,"Active", "Not Active")</f>
        <v>Active</v>
      </c>
      <c r="J792" s="5">
        <v>12620.08</v>
      </c>
      <c r="K792" s="5" t="str">
        <f t="shared" si="86"/>
        <v>Medium</v>
      </c>
      <c r="L792" s="6" t="s">
        <v>49</v>
      </c>
      <c r="M792">
        <v>37</v>
      </c>
      <c r="N792" s="6" t="str">
        <f t="shared" si="87"/>
        <v>Middle-Aged</v>
      </c>
      <c r="O792" s="6" t="s">
        <v>42</v>
      </c>
      <c r="P792" s="6" t="s">
        <v>26</v>
      </c>
      <c r="Q792" t="s">
        <v>2907</v>
      </c>
      <c r="R792" s="6" t="s">
        <v>38</v>
      </c>
      <c r="S792" s="6" t="s">
        <v>29</v>
      </c>
      <c r="T792" s="14">
        <v>4.9500000000000002E-2</v>
      </c>
      <c r="U792">
        <v>4.95</v>
      </c>
      <c r="V792" t="str">
        <f>IF(fin_table[[#This Row],[Interest Rate(%)]]&gt;4,"high","low")</f>
        <v>high</v>
      </c>
      <c r="W792" s="5">
        <v>30012.82</v>
      </c>
      <c r="X792" s="5">
        <f>fin_table[[#This Row],[Interest Rate]]*fin_table[[#This Row],[Loan Amount]]</f>
        <v>1485.6345900000001</v>
      </c>
      <c r="Y792">
        <v>5</v>
      </c>
      <c r="Z792" s="3">
        <v>821</v>
      </c>
      <c r="AA792" s="3" t="str">
        <f t="shared" si="88"/>
        <v>Excellent</v>
      </c>
      <c r="AB792" s="3" cm="1">
        <f t="array" ref="AB792">_xlfn.IFS(fin_table[[#This Row],[Transaction Status]]="Failed", 1, fin_table[[#This Row],[Transaction Status]]="Completed",0,fin_table[[#This Row],[Transaction Status]]="Pending",2)</f>
        <v>1</v>
      </c>
      <c r="AC792" s="3" t="str">
        <f>IF(fin_table[[#This Row],[Loan Defaulters]]=1,"Default", "Good")</f>
        <v>Default</v>
      </c>
      <c r="AD792" s="3">
        <f t="shared" si="89"/>
        <v>5</v>
      </c>
      <c r="AE792" s="4">
        <v>12918.17</v>
      </c>
      <c r="AF792" s="4" t="str">
        <f>IF(fin_table[[#This Row],[Monthly Income]]&lt;3000, "Low Income", IF(fin_table[[#This Row],[Monthly Income]]&lt;=5000, "Middle Income", "High Income"))</f>
        <v>High Income</v>
      </c>
      <c r="AG792" t="s">
        <v>30</v>
      </c>
      <c r="AH792" t="s">
        <v>3636</v>
      </c>
      <c r="AI792" t="str">
        <f t="shared" si="90"/>
        <v>Low-Risk</v>
      </c>
    </row>
    <row r="793" spans="1:35" x14ac:dyDescent="0.35">
      <c r="A793" t="s">
        <v>2908</v>
      </c>
      <c r="B793" t="s">
        <v>2909</v>
      </c>
      <c r="C793" t="s">
        <v>2910</v>
      </c>
      <c r="D793" s="1">
        <v>44966</v>
      </c>
      <c r="E793" s="1" t="str">
        <f t="shared" si="84"/>
        <v>09</v>
      </c>
      <c r="F793" s="1" t="str">
        <f t="shared" si="85"/>
        <v>Feb</v>
      </c>
      <c r="G793" s="6" t="s">
        <v>34</v>
      </c>
      <c r="H793" s="5">
        <v>5512.34</v>
      </c>
      <c r="I793" s="5" t="str">
        <f>IF(fin_table[[#This Row],[Account Balance]]&lt;20000,"Active", "Not Active")</f>
        <v>Active</v>
      </c>
      <c r="J793" s="5">
        <v>6273.1</v>
      </c>
      <c r="K793" s="5" t="str">
        <f t="shared" si="86"/>
        <v>Low</v>
      </c>
      <c r="L793" s="6" t="s">
        <v>100</v>
      </c>
      <c r="M793">
        <v>55</v>
      </c>
      <c r="N793" s="6" t="str">
        <f t="shared" si="87"/>
        <v>Older Adults</v>
      </c>
      <c r="O793" s="6" t="s">
        <v>25</v>
      </c>
      <c r="P793" s="6" t="s">
        <v>50</v>
      </c>
      <c r="Q793" t="s">
        <v>1771</v>
      </c>
      <c r="R793" s="6" t="s">
        <v>38</v>
      </c>
      <c r="S793" s="6" t="s">
        <v>29</v>
      </c>
      <c r="T793" s="14">
        <v>3.8600000000000002E-2</v>
      </c>
      <c r="U793">
        <v>3.86</v>
      </c>
      <c r="V793" t="str">
        <f>IF(fin_table[[#This Row],[Interest Rate(%)]]&gt;4,"high","low")</f>
        <v>low</v>
      </c>
      <c r="W793" s="5">
        <v>26681.654999999999</v>
      </c>
      <c r="X793" s="5">
        <f>fin_table[[#This Row],[Interest Rate]]*fin_table[[#This Row],[Loan Amount]]</f>
        <v>1029.911883</v>
      </c>
      <c r="Y793">
        <v>13</v>
      </c>
      <c r="Z793" s="3">
        <v>500</v>
      </c>
      <c r="AA793" s="3" t="str">
        <f t="shared" si="88"/>
        <v>Poor</v>
      </c>
      <c r="AB793" s="3" cm="1">
        <f t="array" ref="AB793">_xlfn.IFS(fin_table[[#This Row],[Transaction Status]]="Failed", 1, fin_table[[#This Row],[Transaction Status]]="Completed",0,fin_table[[#This Row],[Transaction Status]]="Pending",2)</f>
        <v>1</v>
      </c>
      <c r="AC793" s="3" t="str">
        <f>IF(fin_table[[#This Row],[Loan Defaulters]]=1,"Default", "Good")</f>
        <v>Default</v>
      </c>
      <c r="AD793" s="3">
        <f t="shared" si="89"/>
        <v>1</v>
      </c>
      <c r="AE793" s="4">
        <v>5798.3</v>
      </c>
      <c r="AF793" s="4" t="str">
        <f>IF(fin_table[[#This Row],[Monthly Income]]&lt;3000, "Low Income", IF(fin_table[[#This Row],[Monthly Income]]&lt;=5000, "Middle Income", "High Income"))</f>
        <v>High Income</v>
      </c>
      <c r="AG793" t="s">
        <v>45</v>
      </c>
      <c r="AH793" t="s">
        <v>3635</v>
      </c>
      <c r="AI793" t="str">
        <f t="shared" si="90"/>
        <v>Low-Risk</v>
      </c>
    </row>
    <row r="794" spans="1:35" x14ac:dyDescent="0.35">
      <c r="A794" t="s">
        <v>2911</v>
      </c>
      <c r="B794" t="s">
        <v>2912</v>
      </c>
      <c r="C794" t="s">
        <v>2913</v>
      </c>
      <c r="D794" s="1">
        <v>44854</v>
      </c>
      <c r="E794" s="1" t="str">
        <f t="shared" si="84"/>
        <v>20</v>
      </c>
      <c r="F794" s="1" t="str">
        <f t="shared" si="85"/>
        <v>Oct</v>
      </c>
      <c r="G794" s="6" t="s">
        <v>56</v>
      </c>
      <c r="H794" s="5">
        <v>5367.01</v>
      </c>
      <c r="I794" s="5" t="str">
        <f>IF(fin_table[[#This Row],[Account Balance]]&lt;20000,"Active", "Not Active")</f>
        <v>Not Active</v>
      </c>
      <c r="J794" s="5">
        <v>38638.28</v>
      </c>
      <c r="K794" s="5" t="str">
        <f t="shared" si="86"/>
        <v>Medium</v>
      </c>
      <c r="L794" s="6" t="s">
        <v>49</v>
      </c>
      <c r="M794">
        <v>21</v>
      </c>
      <c r="N794" s="6" t="str">
        <f t="shared" si="87"/>
        <v>Young Adults</v>
      </c>
      <c r="O794" s="6" t="s">
        <v>42</v>
      </c>
      <c r="P794" s="6" t="s">
        <v>26</v>
      </c>
      <c r="Q794" t="s">
        <v>2199</v>
      </c>
      <c r="R794" s="6" t="s">
        <v>28</v>
      </c>
      <c r="S794" s="6" t="s">
        <v>29</v>
      </c>
      <c r="T794" s="14">
        <v>3.4599999999999999E-2</v>
      </c>
      <c r="U794">
        <v>3.46</v>
      </c>
      <c r="V794" t="str">
        <f>IF(fin_table[[#This Row],[Interest Rate(%)]]&gt;4,"high","low")</f>
        <v>low</v>
      </c>
      <c r="W794" s="5">
        <v>14476.06</v>
      </c>
      <c r="X794" s="5">
        <f>fin_table[[#This Row],[Interest Rate]]*fin_table[[#This Row],[Loan Amount]]</f>
        <v>500.87167599999998</v>
      </c>
      <c r="Y794">
        <v>13</v>
      </c>
      <c r="Z794" s="3">
        <v>645</v>
      </c>
      <c r="AA794" s="3" t="str">
        <f t="shared" si="88"/>
        <v>Fair</v>
      </c>
      <c r="AB794" s="3" cm="1">
        <f t="array" ref="AB794">_xlfn.IFS(fin_table[[#This Row],[Transaction Status]]="Failed", 1, fin_table[[#This Row],[Transaction Status]]="Completed",0,fin_table[[#This Row],[Transaction Status]]="Pending",2)</f>
        <v>1</v>
      </c>
      <c r="AC794" s="3" t="str">
        <f>IF(fin_table[[#This Row],[Loan Defaulters]]=1,"Default", "Good")</f>
        <v>Default</v>
      </c>
      <c r="AD794" s="3">
        <f t="shared" si="89"/>
        <v>2</v>
      </c>
      <c r="AE794" s="4">
        <v>14103.37</v>
      </c>
      <c r="AF794" s="4" t="str">
        <f>IF(fin_table[[#This Row],[Monthly Income]]&lt;3000, "Low Income", IF(fin_table[[#This Row],[Monthly Income]]&lt;=5000, "Middle Income", "High Income"))</f>
        <v>High Income</v>
      </c>
      <c r="AG794" t="s">
        <v>45</v>
      </c>
      <c r="AH794" t="s">
        <v>3636</v>
      </c>
      <c r="AI794" t="str">
        <f t="shared" si="90"/>
        <v>Low-Risk</v>
      </c>
    </row>
    <row r="795" spans="1:35" x14ac:dyDescent="0.35">
      <c r="A795" t="s">
        <v>2914</v>
      </c>
      <c r="B795" t="s">
        <v>2915</v>
      </c>
      <c r="C795" t="s">
        <v>2916</v>
      </c>
      <c r="D795" s="1">
        <v>44936</v>
      </c>
      <c r="E795" s="1" t="str">
        <f t="shared" si="84"/>
        <v>10</v>
      </c>
      <c r="F795" s="1" t="str">
        <f t="shared" si="85"/>
        <v>Jan</v>
      </c>
      <c r="G795" s="6" t="s">
        <v>34</v>
      </c>
      <c r="H795" s="5">
        <v>5945.27</v>
      </c>
      <c r="I795" s="5" t="str">
        <f>IF(fin_table[[#This Row],[Account Balance]]&lt;20000,"Active", "Not Active")</f>
        <v>Not Active</v>
      </c>
      <c r="J795" s="5">
        <v>25523.39</v>
      </c>
      <c r="K795" s="5" t="str">
        <f t="shared" si="86"/>
        <v>Medium</v>
      </c>
      <c r="L795" s="6" t="s">
        <v>125</v>
      </c>
      <c r="M795">
        <v>32</v>
      </c>
      <c r="N795" s="6" t="str">
        <f t="shared" si="87"/>
        <v>Adults</v>
      </c>
      <c r="O795" s="6" t="s">
        <v>42</v>
      </c>
      <c r="P795" s="6" t="s">
        <v>50</v>
      </c>
      <c r="Q795" t="s">
        <v>2917</v>
      </c>
      <c r="R795" s="6" t="s">
        <v>28</v>
      </c>
      <c r="S795" s="6" t="s">
        <v>44</v>
      </c>
      <c r="T795" s="14">
        <v>1.1900000000000001E-2</v>
      </c>
      <c r="U795">
        <v>1.19</v>
      </c>
      <c r="V795" t="str">
        <f>IF(fin_table[[#This Row],[Interest Rate(%)]]&gt;4,"high","low")</f>
        <v>low</v>
      </c>
      <c r="W795" s="5">
        <v>26681.654999999999</v>
      </c>
      <c r="X795" s="5">
        <f>fin_table[[#This Row],[Interest Rate]]*fin_table[[#This Row],[Loan Amount]]</f>
        <v>317.51169450000003</v>
      </c>
      <c r="Y795">
        <v>16</v>
      </c>
      <c r="Z795" s="3">
        <v>782</v>
      </c>
      <c r="AA795" s="3" t="str">
        <f t="shared" si="88"/>
        <v>Very Good</v>
      </c>
      <c r="AB795" s="3" cm="1">
        <f t="array" ref="AB795">_xlfn.IFS(fin_table[[#This Row],[Transaction Status]]="Failed", 1, fin_table[[#This Row],[Transaction Status]]="Completed",0,fin_table[[#This Row],[Transaction Status]]="Pending",2)</f>
        <v>0</v>
      </c>
      <c r="AC795" s="3" t="str">
        <f>IF(fin_table[[#This Row],[Loan Defaulters]]=1,"Default", "Good")</f>
        <v>Good</v>
      </c>
      <c r="AD795" s="3">
        <f t="shared" si="89"/>
        <v>4</v>
      </c>
      <c r="AE795" s="4">
        <v>9188.31</v>
      </c>
      <c r="AF795" s="4" t="str">
        <f>IF(fin_table[[#This Row],[Monthly Income]]&lt;3000, "Low Income", IF(fin_table[[#This Row],[Monthly Income]]&lt;=5000, "Middle Income", "High Income"))</f>
        <v>High Income</v>
      </c>
      <c r="AG795" t="s">
        <v>63</v>
      </c>
      <c r="AH795" t="s">
        <v>3635</v>
      </c>
      <c r="AI795" t="str">
        <f t="shared" si="90"/>
        <v>Low-Risk</v>
      </c>
    </row>
    <row r="796" spans="1:35" x14ac:dyDescent="0.35">
      <c r="A796" t="s">
        <v>2918</v>
      </c>
      <c r="B796" t="s">
        <v>2919</v>
      </c>
      <c r="C796" t="s">
        <v>2920</v>
      </c>
      <c r="D796" s="1">
        <v>44833</v>
      </c>
      <c r="E796" s="1" t="str">
        <f t="shared" si="84"/>
        <v>29</v>
      </c>
      <c r="F796" s="1" t="str">
        <f t="shared" si="85"/>
        <v>Sep</v>
      </c>
      <c r="G796" s="6" t="s">
        <v>71</v>
      </c>
      <c r="H796" s="5">
        <v>707.18</v>
      </c>
      <c r="I796" s="5" t="str">
        <f>IF(fin_table[[#This Row],[Account Balance]]&lt;20000,"Active", "Not Active")</f>
        <v>Not Active</v>
      </c>
      <c r="J796" s="5">
        <v>22254.76</v>
      </c>
      <c r="K796" s="5" t="str">
        <f t="shared" si="86"/>
        <v>Medium</v>
      </c>
      <c r="L796" s="6" t="s">
        <v>49</v>
      </c>
      <c r="M796">
        <v>41</v>
      </c>
      <c r="N796" s="6" t="str">
        <f t="shared" si="87"/>
        <v>Middle-Aged</v>
      </c>
      <c r="O796" s="6" t="s">
        <v>25</v>
      </c>
      <c r="P796" s="6" t="s">
        <v>50</v>
      </c>
      <c r="Q796" t="s">
        <v>2921</v>
      </c>
      <c r="R796" s="6" t="s">
        <v>52</v>
      </c>
      <c r="S796" s="6" t="s">
        <v>44</v>
      </c>
      <c r="T796" s="14">
        <v>4.5199999999999997E-2</v>
      </c>
      <c r="U796">
        <v>4.5199999999999996</v>
      </c>
      <c r="V796" t="str">
        <f>IF(fin_table[[#This Row],[Interest Rate(%)]]&gt;4,"high","low")</f>
        <v>high</v>
      </c>
      <c r="W796" s="5">
        <v>26681.654999999999</v>
      </c>
      <c r="X796" s="5">
        <f>fin_table[[#This Row],[Interest Rate]]*fin_table[[#This Row],[Loan Amount]]</f>
        <v>1206.0108059999998</v>
      </c>
      <c r="Y796">
        <v>13</v>
      </c>
      <c r="Z796" s="3">
        <v>518</v>
      </c>
      <c r="AA796" s="3" t="str">
        <f t="shared" si="88"/>
        <v>Poor</v>
      </c>
      <c r="AB796" s="3" cm="1">
        <f t="array" ref="AB796">_xlfn.IFS(fin_table[[#This Row],[Transaction Status]]="Failed", 1, fin_table[[#This Row],[Transaction Status]]="Completed",0,fin_table[[#This Row],[Transaction Status]]="Pending",2)</f>
        <v>0</v>
      </c>
      <c r="AC796" s="3" t="str">
        <f>IF(fin_table[[#This Row],[Loan Defaulters]]=1,"Default", "Good")</f>
        <v>Good</v>
      </c>
      <c r="AD796" s="3">
        <f t="shared" si="89"/>
        <v>1</v>
      </c>
      <c r="AE796" s="4">
        <v>11055.01</v>
      </c>
      <c r="AF796" s="4" t="str">
        <f>IF(fin_table[[#This Row],[Monthly Income]]&lt;3000, "Low Income", IF(fin_table[[#This Row],[Monthly Income]]&lt;=5000, "Middle Income", "High Income"))</f>
        <v>High Income</v>
      </c>
      <c r="AG796" t="s">
        <v>63</v>
      </c>
      <c r="AH796" t="s">
        <v>3635</v>
      </c>
      <c r="AI796" t="str">
        <f t="shared" si="90"/>
        <v>Low-Risk</v>
      </c>
    </row>
    <row r="797" spans="1:35" x14ac:dyDescent="0.35">
      <c r="A797" t="s">
        <v>2922</v>
      </c>
      <c r="B797" t="s">
        <v>2923</v>
      </c>
      <c r="C797" t="s">
        <v>2924</v>
      </c>
      <c r="D797" s="1">
        <v>44872</v>
      </c>
      <c r="E797" s="1" t="str">
        <f t="shared" si="84"/>
        <v>07</v>
      </c>
      <c r="F797" s="1" t="str">
        <f t="shared" si="85"/>
        <v>Nov</v>
      </c>
      <c r="G797" s="6" t="s">
        <v>71</v>
      </c>
      <c r="H797" s="5">
        <v>3685.54</v>
      </c>
      <c r="I797" s="5" t="str">
        <f>IF(fin_table[[#This Row],[Account Balance]]&lt;20000,"Active", "Not Active")</f>
        <v>Active</v>
      </c>
      <c r="J797" s="5">
        <v>13225.65</v>
      </c>
      <c r="K797" s="5" t="str">
        <f t="shared" si="86"/>
        <v>Medium</v>
      </c>
      <c r="L797" s="6" t="s">
        <v>49</v>
      </c>
      <c r="M797">
        <v>42</v>
      </c>
      <c r="N797" s="6" t="str">
        <f t="shared" si="87"/>
        <v>Middle-Aged</v>
      </c>
      <c r="O797" s="6" t="s">
        <v>25</v>
      </c>
      <c r="P797" s="6" t="s">
        <v>26</v>
      </c>
      <c r="Q797" t="s">
        <v>1487</v>
      </c>
      <c r="R797" s="6" t="s">
        <v>52</v>
      </c>
      <c r="S797" s="6" t="s">
        <v>29</v>
      </c>
      <c r="T797" s="14">
        <v>4.2500000000000003E-2</v>
      </c>
      <c r="U797">
        <v>4.25</v>
      </c>
      <c r="V797" t="str">
        <f>IF(fin_table[[#This Row],[Interest Rate(%)]]&gt;4,"high","low")</f>
        <v>high</v>
      </c>
      <c r="W797" s="5">
        <v>26681.654999999999</v>
      </c>
      <c r="X797" s="5">
        <f>fin_table[[#This Row],[Interest Rate]]*fin_table[[#This Row],[Loan Amount]]</f>
        <v>1133.9703375000001</v>
      </c>
      <c r="Y797">
        <v>12</v>
      </c>
      <c r="Z797" s="3">
        <v>359</v>
      </c>
      <c r="AA797" s="3" t="str">
        <f t="shared" si="88"/>
        <v>Poor</v>
      </c>
      <c r="AB797" s="3" cm="1">
        <f t="array" ref="AB797">_xlfn.IFS(fin_table[[#This Row],[Transaction Status]]="Failed", 1, fin_table[[#This Row],[Transaction Status]]="Completed",0,fin_table[[#This Row],[Transaction Status]]="Pending",2)</f>
        <v>1</v>
      </c>
      <c r="AC797" s="3" t="str">
        <f>IF(fin_table[[#This Row],[Loan Defaulters]]=1,"Default", "Good")</f>
        <v>Default</v>
      </c>
      <c r="AD797" s="3">
        <f t="shared" si="89"/>
        <v>1</v>
      </c>
      <c r="AE797" s="4">
        <v>9757.61</v>
      </c>
      <c r="AF797" s="4" t="str">
        <f>IF(fin_table[[#This Row],[Monthly Income]]&lt;3000, "Low Income", IF(fin_table[[#This Row],[Monthly Income]]&lt;=5000, "Middle Income", "High Income"))</f>
        <v>High Income</v>
      </c>
      <c r="AG797" t="s">
        <v>30</v>
      </c>
      <c r="AH797" t="s">
        <v>3635</v>
      </c>
      <c r="AI797" t="str">
        <f t="shared" si="90"/>
        <v>Low-Risk</v>
      </c>
    </row>
    <row r="798" spans="1:35" x14ac:dyDescent="0.35">
      <c r="A798" t="s">
        <v>2925</v>
      </c>
      <c r="B798" t="s">
        <v>2926</v>
      </c>
      <c r="C798" t="s">
        <v>2927</v>
      </c>
      <c r="D798" s="1">
        <v>44943</v>
      </c>
      <c r="E798" s="1" t="str">
        <f t="shared" si="84"/>
        <v>17</v>
      </c>
      <c r="F798" s="1" t="str">
        <f t="shared" si="85"/>
        <v>Jan</v>
      </c>
      <c r="G798" s="6" t="s">
        <v>34</v>
      </c>
      <c r="H798" s="5">
        <v>7258.97</v>
      </c>
      <c r="I798" s="5" t="str">
        <f>IF(fin_table[[#This Row],[Account Balance]]&lt;20000,"Active", "Not Active")</f>
        <v>Not Active</v>
      </c>
      <c r="J798" s="5">
        <v>27826.1</v>
      </c>
      <c r="K798" s="5" t="str">
        <f t="shared" si="86"/>
        <v>Medium</v>
      </c>
      <c r="L798" s="6" t="s">
        <v>49</v>
      </c>
      <c r="M798">
        <v>18</v>
      </c>
      <c r="N798" s="6" t="str">
        <f t="shared" si="87"/>
        <v>Young Adults</v>
      </c>
      <c r="O798" s="6" t="s">
        <v>42</v>
      </c>
      <c r="P798" s="6" t="s">
        <v>50</v>
      </c>
      <c r="Q798" t="s">
        <v>2013</v>
      </c>
      <c r="R798" s="6" t="s">
        <v>52</v>
      </c>
      <c r="S798" s="6" t="s">
        <v>44</v>
      </c>
      <c r="T798" s="14">
        <v>3.6600000000000001E-2</v>
      </c>
      <c r="U798">
        <v>3.66</v>
      </c>
      <c r="V798" t="str">
        <f>IF(fin_table[[#This Row],[Interest Rate(%)]]&gt;4,"high","low")</f>
        <v>low</v>
      </c>
      <c r="W798" s="5">
        <v>15550.2</v>
      </c>
      <c r="X798" s="5">
        <f>fin_table[[#This Row],[Interest Rate]]*fin_table[[#This Row],[Loan Amount]]</f>
        <v>569.13732000000005</v>
      </c>
      <c r="Y798">
        <v>13</v>
      </c>
      <c r="Z798" s="3">
        <v>849</v>
      </c>
      <c r="AA798" s="3" t="str">
        <f t="shared" si="88"/>
        <v>Excellent</v>
      </c>
      <c r="AB798" s="3" cm="1">
        <f t="array" ref="AB798">_xlfn.IFS(fin_table[[#This Row],[Transaction Status]]="Failed", 1, fin_table[[#This Row],[Transaction Status]]="Completed",0,fin_table[[#This Row],[Transaction Status]]="Pending",2)</f>
        <v>0</v>
      </c>
      <c r="AC798" s="3" t="str">
        <f>IF(fin_table[[#This Row],[Loan Defaulters]]=1,"Default", "Good")</f>
        <v>Good</v>
      </c>
      <c r="AD798" s="3">
        <f t="shared" si="89"/>
        <v>5</v>
      </c>
      <c r="AE798" s="4">
        <v>3595.62</v>
      </c>
      <c r="AF798" s="4" t="str">
        <f>IF(fin_table[[#This Row],[Monthly Income]]&lt;3000, "Low Income", IF(fin_table[[#This Row],[Monthly Income]]&lt;=5000, "Middle Income", "High Income"))</f>
        <v>Middle Income</v>
      </c>
      <c r="AG798" t="s">
        <v>63</v>
      </c>
      <c r="AH798" t="s">
        <v>3636</v>
      </c>
      <c r="AI798" t="str">
        <f t="shared" si="90"/>
        <v>Low-Risk</v>
      </c>
    </row>
    <row r="799" spans="1:35" x14ac:dyDescent="0.35">
      <c r="A799" t="s">
        <v>2928</v>
      </c>
      <c r="B799" t="s">
        <v>2078</v>
      </c>
      <c r="C799" t="s">
        <v>2929</v>
      </c>
      <c r="D799" s="1">
        <v>44735</v>
      </c>
      <c r="E799" s="1" t="str">
        <f t="shared" si="84"/>
        <v>23</v>
      </c>
      <c r="F799" s="1" t="str">
        <f t="shared" si="85"/>
        <v>Jun</v>
      </c>
      <c r="G799" s="6" t="s">
        <v>23</v>
      </c>
      <c r="H799" s="5">
        <v>2085.5500000000002</v>
      </c>
      <c r="I799" s="5" t="str">
        <f>IF(fin_table[[#This Row],[Account Balance]]&lt;20000,"Active", "Not Active")</f>
        <v>Active</v>
      </c>
      <c r="J799" s="5">
        <v>14444.85</v>
      </c>
      <c r="K799" s="5" t="str">
        <f t="shared" si="86"/>
        <v>Medium</v>
      </c>
      <c r="L799" s="6" t="s">
        <v>24</v>
      </c>
      <c r="M799">
        <v>24</v>
      </c>
      <c r="N799" s="6" t="str">
        <f t="shared" si="87"/>
        <v>Young Adults</v>
      </c>
      <c r="O799" s="6" t="s">
        <v>42</v>
      </c>
      <c r="P799" s="6" t="s">
        <v>36</v>
      </c>
      <c r="Q799" t="s">
        <v>434</v>
      </c>
      <c r="R799" s="6" t="s">
        <v>52</v>
      </c>
      <c r="S799" s="6" t="s">
        <v>62</v>
      </c>
      <c r="T799" s="14">
        <v>2.3599999999999999E-2</v>
      </c>
      <c r="U799">
        <v>2.36</v>
      </c>
      <c r="V799" t="str">
        <f>IF(fin_table[[#This Row],[Interest Rate(%)]]&gt;4,"high","low")</f>
        <v>low</v>
      </c>
      <c r="W799" s="5">
        <v>37922.36</v>
      </c>
      <c r="X799" s="5">
        <f>fin_table[[#This Row],[Interest Rate]]*fin_table[[#This Row],[Loan Amount]]</f>
        <v>894.96769600000005</v>
      </c>
      <c r="Y799">
        <v>3</v>
      </c>
      <c r="Z799" s="3">
        <v>520</v>
      </c>
      <c r="AA799" s="3" t="str">
        <f t="shared" si="88"/>
        <v>Poor</v>
      </c>
      <c r="AB799" s="3" cm="1">
        <f t="array" ref="AB799">_xlfn.IFS(fin_table[[#This Row],[Transaction Status]]="Failed", 1, fin_table[[#This Row],[Transaction Status]]="Completed",0,fin_table[[#This Row],[Transaction Status]]="Pending",2)</f>
        <v>2</v>
      </c>
      <c r="AC799" s="3" t="str">
        <f>IF(fin_table[[#This Row],[Loan Defaulters]]=1,"Default", "Good")</f>
        <v>Good</v>
      </c>
      <c r="AD799" s="3">
        <f t="shared" si="89"/>
        <v>1</v>
      </c>
      <c r="AE799" s="4">
        <v>14520.49</v>
      </c>
      <c r="AF799" s="4" t="str">
        <f>IF(fin_table[[#This Row],[Monthly Income]]&lt;3000, "Low Income", IF(fin_table[[#This Row],[Monthly Income]]&lt;=5000, "Middle Income", "High Income"))</f>
        <v>High Income</v>
      </c>
      <c r="AG799" t="s">
        <v>45</v>
      </c>
      <c r="AH799" t="s">
        <v>3636</v>
      </c>
      <c r="AI799" t="str">
        <f t="shared" si="90"/>
        <v>High-Risk</v>
      </c>
    </row>
    <row r="800" spans="1:35" x14ac:dyDescent="0.35">
      <c r="A800" t="s">
        <v>2930</v>
      </c>
      <c r="B800" t="s">
        <v>2931</v>
      </c>
      <c r="C800" t="s">
        <v>2932</v>
      </c>
      <c r="D800" s="1">
        <v>44710</v>
      </c>
      <c r="E800" s="1" t="str">
        <f t="shared" si="84"/>
        <v>29</v>
      </c>
      <c r="F800" s="1" t="str">
        <f t="shared" si="85"/>
        <v>May</v>
      </c>
      <c r="G800" s="6" t="s">
        <v>71</v>
      </c>
      <c r="H800" s="5">
        <v>2115.4299999999998</v>
      </c>
      <c r="I800" s="5" t="str">
        <f>IF(fin_table[[#This Row],[Account Balance]]&lt;20000,"Active", "Not Active")</f>
        <v>Not Active</v>
      </c>
      <c r="J800" s="5">
        <v>45177.57</v>
      </c>
      <c r="K800" s="5" t="str">
        <f t="shared" si="86"/>
        <v>Medium</v>
      </c>
      <c r="L800" s="6" t="s">
        <v>125</v>
      </c>
      <c r="M800">
        <v>48</v>
      </c>
      <c r="N800" s="6" t="str">
        <f t="shared" si="87"/>
        <v>Older Adults</v>
      </c>
      <c r="O800" s="6" t="s">
        <v>25</v>
      </c>
      <c r="P800" s="6" t="s">
        <v>50</v>
      </c>
      <c r="Q800" t="s">
        <v>2933</v>
      </c>
      <c r="R800" s="6" t="s">
        <v>38</v>
      </c>
      <c r="S800" s="6" t="s">
        <v>29</v>
      </c>
      <c r="T800" s="14">
        <v>1.2800000000000001E-2</v>
      </c>
      <c r="U800">
        <v>1.28</v>
      </c>
      <c r="V800" t="str">
        <f>IF(fin_table[[#This Row],[Interest Rate(%)]]&gt;4,"high","low")</f>
        <v>low</v>
      </c>
      <c r="W800" s="5">
        <v>16560.400000000001</v>
      </c>
      <c r="X800" s="5">
        <f>fin_table[[#This Row],[Interest Rate]]*fin_table[[#This Row],[Loan Amount]]</f>
        <v>211.97312000000002</v>
      </c>
      <c r="Y800">
        <v>23</v>
      </c>
      <c r="Z800" s="3">
        <v>801</v>
      </c>
      <c r="AA800" s="3" t="str">
        <f t="shared" si="88"/>
        <v>Excellent</v>
      </c>
      <c r="AB800" s="3" cm="1">
        <f t="array" ref="AB800">_xlfn.IFS(fin_table[[#This Row],[Transaction Status]]="Failed", 1, fin_table[[#This Row],[Transaction Status]]="Completed",0,fin_table[[#This Row],[Transaction Status]]="Pending",2)</f>
        <v>1</v>
      </c>
      <c r="AC800" s="3" t="str">
        <f>IF(fin_table[[#This Row],[Loan Defaulters]]=1,"Default", "Good")</f>
        <v>Default</v>
      </c>
      <c r="AD800" s="3">
        <f t="shared" si="89"/>
        <v>5</v>
      </c>
      <c r="AE800" s="4">
        <v>3597.38</v>
      </c>
      <c r="AF800" s="4" t="str">
        <f>IF(fin_table[[#This Row],[Monthly Income]]&lt;3000, "Low Income", IF(fin_table[[#This Row],[Monthly Income]]&lt;=5000, "Middle Income", "High Income"))</f>
        <v>Middle Income</v>
      </c>
      <c r="AG800" t="s">
        <v>45</v>
      </c>
      <c r="AH800" t="s">
        <v>3636</v>
      </c>
      <c r="AI800" t="str">
        <f t="shared" si="90"/>
        <v>Low-Risk</v>
      </c>
    </row>
    <row r="801" spans="1:35" x14ac:dyDescent="0.35">
      <c r="A801" t="s">
        <v>2934</v>
      </c>
      <c r="B801" t="s">
        <v>2935</v>
      </c>
      <c r="C801" t="s">
        <v>2936</v>
      </c>
      <c r="D801" s="1">
        <v>45018</v>
      </c>
      <c r="E801" s="1" t="str">
        <f t="shared" si="84"/>
        <v>02</v>
      </c>
      <c r="F801" s="1" t="str">
        <f t="shared" si="85"/>
        <v>Apr</v>
      </c>
      <c r="G801" s="6" t="s">
        <v>71</v>
      </c>
      <c r="H801" s="5">
        <v>199.9</v>
      </c>
      <c r="I801" s="5" t="str">
        <f>IF(fin_table[[#This Row],[Account Balance]]&lt;20000,"Active", "Not Active")</f>
        <v>Active</v>
      </c>
      <c r="J801" s="5">
        <v>11545.02</v>
      </c>
      <c r="K801" s="5" t="str">
        <f t="shared" si="86"/>
        <v>Medium</v>
      </c>
      <c r="L801" s="6" t="s">
        <v>49</v>
      </c>
      <c r="M801">
        <v>29</v>
      </c>
      <c r="N801" s="6" t="str">
        <f t="shared" si="87"/>
        <v>Adults</v>
      </c>
      <c r="O801" s="6" t="s">
        <v>25</v>
      </c>
      <c r="P801" s="6" t="s">
        <v>26</v>
      </c>
      <c r="Q801" t="s">
        <v>682</v>
      </c>
      <c r="R801" s="6" t="s">
        <v>38</v>
      </c>
      <c r="S801" s="6" t="s">
        <v>44</v>
      </c>
      <c r="T801" s="14">
        <v>3.32E-2</v>
      </c>
      <c r="U801">
        <v>3.32</v>
      </c>
      <c r="V801" t="str">
        <f>IF(fin_table[[#This Row],[Interest Rate(%)]]&gt;4,"high","low")</f>
        <v>low</v>
      </c>
      <c r="W801" s="5">
        <v>26681.654999999999</v>
      </c>
      <c r="X801" s="5">
        <f>fin_table[[#This Row],[Interest Rate]]*fin_table[[#This Row],[Loan Amount]]</f>
        <v>885.83094599999993</v>
      </c>
      <c r="Y801">
        <v>2</v>
      </c>
      <c r="Z801" s="3">
        <v>432</v>
      </c>
      <c r="AA801" s="3" t="str">
        <f t="shared" si="88"/>
        <v>Poor</v>
      </c>
      <c r="AB801" s="3" cm="1">
        <f t="array" ref="AB801">_xlfn.IFS(fin_table[[#This Row],[Transaction Status]]="Failed", 1, fin_table[[#This Row],[Transaction Status]]="Completed",0,fin_table[[#This Row],[Transaction Status]]="Pending",2)</f>
        <v>0</v>
      </c>
      <c r="AC801" s="3" t="str">
        <f>IF(fin_table[[#This Row],[Loan Defaulters]]=1,"Default", "Good")</f>
        <v>Good</v>
      </c>
      <c r="AD801" s="3">
        <f t="shared" si="89"/>
        <v>1</v>
      </c>
      <c r="AE801" s="4">
        <v>5313.47</v>
      </c>
      <c r="AF801" s="4" t="str">
        <f>IF(fin_table[[#This Row],[Monthly Income]]&lt;3000, "Low Income", IF(fin_table[[#This Row],[Monthly Income]]&lt;=5000, "Middle Income", "High Income"))</f>
        <v>High Income</v>
      </c>
      <c r="AG801" t="s">
        <v>30</v>
      </c>
      <c r="AH801" t="s">
        <v>3635</v>
      </c>
      <c r="AI801" t="str">
        <f t="shared" si="90"/>
        <v>Low-Risk</v>
      </c>
    </row>
    <row r="802" spans="1:35" x14ac:dyDescent="0.35">
      <c r="A802" t="s">
        <v>2937</v>
      </c>
      <c r="B802" t="s">
        <v>2938</v>
      </c>
      <c r="C802" t="s">
        <v>2939</v>
      </c>
      <c r="D802" s="1">
        <v>44767</v>
      </c>
      <c r="E802" s="1" t="str">
        <f t="shared" si="84"/>
        <v>25</v>
      </c>
      <c r="F802" s="1" t="str">
        <f t="shared" si="85"/>
        <v>Jul</v>
      </c>
      <c r="G802" s="6" t="s">
        <v>23</v>
      </c>
      <c r="H802" s="5">
        <v>4431.07</v>
      </c>
      <c r="I802" s="5" t="str">
        <f>IF(fin_table[[#This Row],[Account Balance]]&lt;20000,"Active", "Not Active")</f>
        <v>Not Active</v>
      </c>
      <c r="J802" s="5">
        <v>44333.4</v>
      </c>
      <c r="K802" s="5" t="str">
        <f t="shared" si="86"/>
        <v>Medium</v>
      </c>
      <c r="L802" s="6" t="s">
        <v>49</v>
      </c>
      <c r="M802">
        <v>59</v>
      </c>
      <c r="N802" s="6" t="str">
        <f t="shared" si="87"/>
        <v>Older Adults</v>
      </c>
      <c r="O802" s="6" t="s">
        <v>42</v>
      </c>
      <c r="P802" s="6" t="s">
        <v>36</v>
      </c>
      <c r="Q802" t="s">
        <v>2940</v>
      </c>
      <c r="R802" s="6" t="s">
        <v>52</v>
      </c>
      <c r="S802" s="6" t="s">
        <v>44</v>
      </c>
      <c r="T802" s="14">
        <v>3.8800000000000001E-2</v>
      </c>
      <c r="U802">
        <v>3.88</v>
      </c>
      <c r="V802" t="str">
        <f>IF(fin_table[[#This Row],[Interest Rate(%)]]&gt;4,"high","low")</f>
        <v>low</v>
      </c>
      <c r="W802" s="5">
        <v>36080.06</v>
      </c>
      <c r="X802" s="5">
        <f>fin_table[[#This Row],[Interest Rate]]*fin_table[[#This Row],[Loan Amount]]</f>
        <v>1399.906328</v>
      </c>
      <c r="Y802">
        <v>7</v>
      </c>
      <c r="Z802" s="3">
        <v>352</v>
      </c>
      <c r="AA802" s="3" t="str">
        <f t="shared" si="88"/>
        <v>Poor</v>
      </c>
      <c r="AB802" s="3" cm="1">
        <f t="array" ref="AB802">_xlfn.IFS(fin_table[[#This Row],[Transaction Status]]="Failed", 1, fin_table[[#This Row],[Transaction Status]]="Completed",0,fin_table[[#This Row],[Transaction Status]]="Pending",2)</f>
        <v>0</v>
      </c>
      <c r="AC802" s="3" t="str">
        <f>IF(fin_table[[#This Row],[Loan Defaulters]]=1,"Default", "Good")</f>
        <v>Good</v>
      </c>
      <c r="AD802" s="3">
        <f t="shared" si="89"/>
        <v>1</v>
      </c>
      <c r="AE802" s="4">
        <v>12577.16</v>
      </c>
      <c r="AF802" s="4" t="str">
        <f>IF(fin_table[[#This Row],[Monthly Income]]&lt;3000, "Low Income", IF(fin_table[[#This Row],[Monthly Income]]&lt;=5000, "Middle Income", "High Income"))</f>
        <v>High Income</v>
      </c>
      <c r="AG802" t="s">
        <v>30</v>
      </c>
      <c r="AH802" t="s">
        <v>3636</v>
      </c>
      <c r="AI802" t="str">
        <f t="shared" si="90"/>
        <v>High-Risk</v>
      </c>
    </row>
    <row r="803" spans="1:35" x14ac:dyDescent="0.35">
      <c r="A803" t="s">
        <v>2941</v>
      </c>
      <c r="B803" t="s">
        <v>2942</v>
      </c>
      <c r="C803" t="s">
        <v>2943</v>
      </c>
      <c r="D803" s="1">
        <v>44877</v>
      </c>
      <c r="E803" s="1" t="str">
        <f t="shared" si="84"/>
        <v>12</v>
      </c>
      <c r="F803" s="1" t="str">
        <f t="shared" si="85"/>
        <v>Nov</v>
      </c>
      <c r="G803" s="6" t="s">
        <v>23</v>
      </c>
      <c r="H803" s="5">
        <v>8839.07</v>
      </c>
      <c r="I803" s="5" t="str">
        <f>IF(fin_table[[#This Row],[Account Balance]]&lt;20000,"Active", "Not Active")</f>
        <v>Not Active</v>
      </c>
      <c r="J803" s="5">
        <v>28410.87</v>
      </c>
      <c r="K803" s="5" t="str">
        <f t="shared" si="86"/>
        <v>Medium</v>
      </c>
      <c r="L803" s="6" t="s">
        <v>49</v>
      </c>
      <c r="M803">
        <v>22</v>
      </c>
      <c r="N803" s="6" t="str">
        <f t="shared" si="87"/>
        <v>Young Adults</v>
      </c>
      <c r="O803" s="6" t="s">
        <v>42</v>
      </c>
      <c r="P803" s="6" t="s">
        <v>36</v>
      </c>
      <c r="Q803" t="s">
        <v>1189</v>
      </c>
      <c r="R803" s="6" t="s">
        <v>52</v>
      </c>
      <c r="S803" s="6" t="s">
        <v>29</v>
      </c>
      <c r="T803" s="14">
        <v>1.38E-2</v>
      </c>
      <c r="U803">
        <v>1.38</v>
      </c>
      <c r="V803" t="str">
        <f>IF(fin_table[[#This Row],[Interest Rate(%)]]&gt;4,"high","low")</f>
        <v>low</v>
      </c>
      <c r="W803" s="5">
        <v>26681.654999999999</v>
      </c>
      <c r="X803" s="5">
        <f>fin_table[[#This Row],[Interest Rate]]*fin_table[[#This Row],[Loan Amount]]</f>
        <v>368.206839</v>
      </c>
      <c r="Y803">
        <v>13</v>
      </c>
      <c r="Z803" s="3">
        <v>749</v>
      </c>
      <c r="AA803" s="3" t="str">
        <f t="shared" si="88"/>
        <v>Very Good</v>
      </c>
      <c r="AB803" s="3" cm="1">
        <f t="array" ref="AB803">_xlfn.IFS(fin_table[[#This Row],[Transaction Status]]="Failed", 1, fin_table[[#This Row],[Transaction Status]]="Completed",0,fin_table[[#This Row],[Transaction Status]]="Pending",2)</f>
        <v>1</v>
      </c>
      <c r="AC803" s="3" t="str">
        <f>IF(fin_table[[#This Row],[Loan Defaulters]]=1,"Default", "Good")</f>
        <v>Default</v>
      </c>
      <c r="AD803" s="3">
        <f t="shared" si="89"/>
        <v>4</v>
      </c>
      <c r="AE803" s="4">
        <v>10041.76</v>
      </c>
      <c r="AF803" s="4" t="str">
        <f>IF(fin_table[[#This Row],[Monthly Income]]&lt;3000, "Low Income", IF(fin_table[[#This Row],[Monthly Income]]&lt;=5000, "Middle Income", "High Income"))</f>
        <v>High Income</v>
      </c>
      <c r="AG803" t="s">
        <v>45</v>
      </c>
      <c r="AH803" t="s">
        <v>3635</v>
      </c>
      <c r="AI803" t="str">
        <f t="shared" si="90"/>
        <v>Low-Risk</v>
      </c>
    </row>
    <row r="804" spans="1:35" x14ac:dyDescent="0.35">
      <c r="A804" t="s">
        <v>2944</v>
      </c>
      <c r="B804" t="s">
        <v>2945</v>
      </c>
      <c r="C804" t="s">
        <v>2946</v>
      </c>
      <c r="D804" s="1">
        <v>44604</v>
      </c>
      <c r="E804" s="1" t="str">
        <f t="shared" si="84"/>
        <v>12</v>
      </c>
      <c r="F804" s="1" t="str">
        <f t="shared" si="85"/>
        <v>Feb</v>
      </c>
      <c r="G804" s="6" t="s">
        <v>56</v>
      </c>
      <c r="H804" s="5">
        <v>613.82000000000005</v>
      </c>
      <c r="I804" s="5" t="str">
        <f>IF(fin_table[[#This Row],[Account Balance]]&lt;20000,"Active", "Not Active")</f>
        <v>Not Active</v>
      </c>
      <c r="J804" s="5">
        <v>41595.919999999998</v>
      </c>
      <c r="K804" s="5" t="str">
        <f t="shared" si="86"/>
        <v>Medium</v>
      </c>
      <c r="L804" s="6" t="s">
        <v>100</v>
      </c>
      <c r="M804">
        <v>61</v>
      </c>
      <c r="N804" s="6" t="str">
        <f t="shared" si="87"/>
        <v>Seniors</v>
      </c>
      <c r="O804" s="6" t="s">
        <v>25</v>
      </c>
      <c r="P804" s="6" t="s">
        <v>50</v>
      </c>
      <c r="Q804" t="s">
        <v>194</v>
      </c>
      <c r="R804" s="6" t="s">
        <v>28</v>
      </c>
      <c r="S804" s="6" t="s">
        <v>44</v>
      </c>
      <c r="T804" s="14">
        <v>3.5400000000000001E-2</v>
      </c>
      <c r="U804">
        <v>3.54</v>
      </c>
      <c r="V804" t="str">
        <f>IF(fin_table[[#This Row],[Interest Rate(%)]]&gt;4,"high","low")</f>
        <v>low</v>
      </c>
      <c r="W804" s="5">
        <v>26669.279999999999</v>
      </c>
      <c r="X804" s="5">
        <f>fin_table[[#This Row],[Interest Rate]]*fin_table[[#This Row],[Loan Amount]]</f>
        <v>944.09251199999994</v>
      </c>
      <c r="Y804">
        <v>21</v>
      </c>
      <c r="Z804" s="3">
        <v>361</v>
      </c>
      <c r="AA804" s="3" t="str">
        <f t="shared" si="88"/>
        <v>Poor</v>
      </c>
      <c r="AB804" s="3" cm="1">
        <f t="array" ref="AB804">_xlfn.IFS(fin_table[[#This Row],[Transaction Status]]="Failed", 1, fin_table[[#This Row],[Transaction Status]]="Completed",0,fin_table[[#This Row],[Transaction Status]]="Pending",2)</f>
        <v>0</v>
      </c>
      <c r="AC804" s="3" t="str">
        <f>IF(fin_table[[#This Row],[Loan Defaulters]]=1,"Default", "Good")</f>
        <v>Good</v>
      </c>
      <c r="AD804" s="3">
        <f t="shared" si="89"/>
        <v>1</v>
      </c>
      <c r="AE804" s="4">
        <v>12895.94</v>
      </c>
      <c r="AF804" s="4" t="str">
        <f>IF(fin_table[[#This Row],[Monthly Income]]&lt;3000, "Low Income", IF(fin_table[[#This Row],[Monthly Income]]&lt;=5000, "Middle Income", "High Income"))</f>
        <v>High Income</v>
      </c>
      <c r="AG804" t="s">
        <v>30</v>
      </c>
      <c r="AH804" t="s">
        <v>3636</v>
      </c>
      <c r="AI804" t="str">
        <f t="shared" si="90"/>
        <v>Low-Risk</v>
      </c>
    </row>
    <row r="805" spans="1:35" x14ac:dyDescent="0.35">
      <c r="A805" t="s">
        <v>2947</v>
      </c>
      <c r="B805" t="s">
        <v>2350</v>
      </c>
      <c r="C805" t="s">
        <v>2948</v>
      </c>
      <c r="D805" s="1">
        <v>44690</v>
      </c>
      <c r="E805" s="1" t="str">
        <f t="shared" si="84"/>
        <v>09</v>
      </c>
      <c r="F805" s="1" t="str">
        <f t="shared" si="85"/>
        <v>May</v>
      </c>
      <c r="G805" s="6" t="s">
        <v>23</v>
      </c>
      <c r="H805" s="5">
        <v>1992.08</v>
      </c>
      <c r="I805" s="5" t="str">
        <f>IF(fin_table[[#This Row],[Account Balance]]&lt;20000,"Active", "Not Active")</f>
        <v>Not Active</v>
      </c>
      <c r="J805" s="5">
        <v>35929.449999999997</v>
      </c>
      <c r="K805" s="5" t="str">
        <f t="shared" si="86"/>
        <v>Medium</v>
      </c>
      <c r="L805" s="6" t="s">
        <v>24</v>
      </c>
      <c r="M805">
        <v>67</v>
      </c>
      <c r="N805" s="6" t="str">
        <f t="shared" si="87"/>
        <v>Seniors</v>
      </c>
      <c r="O805" s="6" t="s">
        <v>42</v>
      </c>
      <c r="P805" s="6" t="s">
        <v>26</v>
      </c>
      <c r="Q805" t="s">
        <v>2949</v>
      </c>
      <c r="R805" s="6" t="s">
        <v>38</v>
      </c>
      <c r="S805" s="6" t="s">
        <v>29</v>
      </c>
      <c r="T805" s="14">
        <v>2.1499999999999998E-2</v>
      </c>
      <c r="U805">
        <v>2.15</v>
      </c>
      <c r="V805" t="str">
        <f>IF(fin_table[[#This Row],[Interest Rate(%)]]&gt;4,"high","low")</f>
        <v>low</v>
      </c>
      <c r="W805" s="5">
        <v>28912.63</v>
      </c>
      <c r="X805" s="5">
        <f>fin_table[[#This Row],[Interest Rate]]*fin_table[[#This Row],[Loan Amount]]</f>
        <v>621.62154499999997</v>
      </c>
      <c r="Y805">
        <v>13</v>
      </c>
      <c r="Z805" s="3">
        <v>322</v>
      </c>
      <c r="AA805" s="3" t="str">
        <f t="shared" si="88"/>
        <v>Poor</v>
      </c>
      <c r="AB805" s="3" cm="1">
        <f t="array" ref="AB805">_xlfn.IFS(fin_table[[#This Row],[Transaction Status]]="Failed", 1, fin_table[[#This Row],[Transaction Status]]="Completed",0,fin_table[[#This Row],[Transaction Status]]="Pending",2)</f>
        <v>1</v>
      </c>
      <c r="AC805" s="3" t="str">
        <f>IF(fin_table[[#This Row],[Loan Defaulters]]=1,"Default", "Good")</f>
        <v>Default</v>
      </c>
      <c r="AD805" s="3">
        <f t="shared" si="89"/>
        <v>1</v>
      </c>
      <c r="AE805" s="4">
        <v>8704.57</v>
      </c>
      <c r="AF805" s="4" t="str">
        <f>IF(fin_table[[#This Row],[Monthly Income]]&lt;3000, "Low Income", IF(fin_table[[#This Row],[Monthly Income]]&lt;=5000, "Middle Income", "High Income"))</f>
        <v>High Income</v>
      </c>
      <c r="AG805" t="s">
        <v>63</v>
      </c>
      <c r="AH805" t="s">
        <v>3636</v>
      </c>
      <c r="AI805" t="str">
        <f t="shared" si="90"/>
        <v>Low-Risk</v>
      </c>
    </row>
    <row r="806" spans="1:35" x14ac:dyDescent="0.35">
      <c r="A806" t="s">
        <v>2950</v>
      </c>
      <c r="B806" t="s">
        <v>2951</v>
      </c>
      <c r="C806" t="s">
        <v>2952</v>
      </c>
      <c r="D806" s="1">
        <v>45107</v>
      </c>
      <c r="E806" s="1" t="str">
        <f t="shared" si="84"/>
        <v>30</v>
      </c>
      <c r="F806" s="1" t="str">
        <f t="shared" si="85"/>
        <v>Jun</v>
      </c>
      <c r="G806" s="6" t="s">
        <v>34</v>
      </c>
      <c r="H806" s="5">
        <v>3169.84</v>
      </c>
      <c r="I806" s="5" t="str">
        <f>IF(fin_table[[#This Row],[Account Balance]]&lt;20000,"Active", "Not Active")</f>
        <v>Not Active</v>
      </c>
      <c r="J806" s="5">
        <v>35138.06</v>
      </c>
      <c r="K806" s="5" t="str">
        <f t="shared" si="86"/>
        <v>Medium</v>
      </c>
      <c r="L806" s="6" t="s">
        <v>100</v>
      </c>
      <c r="M806">
        <v>59</v>
      </c>
      <c r="N806" s="6" t="str">
        <f t="shared" si="87"/>
        <v>Older Adults</v>
      </c>
      <c r="O806" s="6" t="s">
        <v>25</v>
      </c>
      <c r="P806" s="6" t="s">
        <v>50</v>
      </c>
      <c r="Q806" t="s">
        <v>2953</v>
      </c>
      <c r="R806" s="6" t="s">
        <v>38</v>
      </c>
      <c r="S806" s="6" t="s">
        <v>44</v>
      </c>
      <c r="T806" s="14">
        <v>4.0599999999999997E-2</v>
      </c>
      <c r="U806">
        <v>4.0599999999999996</v>
      </c>
      <c r="V806" t="str">
        <f>IF(fin_table[[#This Row],[Interest Rate(%)]]&gt;4,"high","low")</f>
        <v>high</v>
      </c>
      <c r="W806" s="5">
        <v>26681.654999999999</v>
      </c>
      <c r="X806" s="5">
        <f>fin_table[[#This Row],[Interest Rate]]*fin_table[[#This Row],[Loan Amount]]</f>
        <v>1083.2751929999999</v>
      </c>
      <c r="Y806">
        <v>11</v>
      </c>
      <c r="Z806" s="3">
        <v>343</v>
      </c>
      <c r="AA806" s="3" t="str">
        <f t="shared" si="88"/>
        <v>Poor</v>
      </c>
      <c r="AB806" s="3" cm="1">
        <f t="array" ref="AB806">_xlfn.IFS(fin_table[[#This Row],[Transaction Status]]="Failed", 1, fin_table[[#This Row],[Transaction Status]]="Completed",0,fin_table[[#This Row],[Transaction Status]]="Pending",2)</f>
        <v>0</v>
      </c>
      <c r="AC806" s="3" t="str">
        <f>IF(fin_table[[#This Row],[Loan Defaulters]]=1,"Default", "Good")</f>
        <v>Good</v>
      </c>
      <c r="AD806" s="3">
        <f t="shared" si="89"/>
        <v>1</v>
      </c>
      <c r="AE806" s="4">
        <v>6900.91</v>
      </c>
      <c r="AF806" s="4" t="str">
        <f>IF(fin_table[[#This Row],[Monthly Income]]&lt;3000, "Low Income", IF(fin_table[[#This Row],[Monthly Income]]&lt;=5000, "Middle Income", "High Income"))</f>
        <v>High Income</v>
      </c>
      <c r="AG806" t="s">
        <v>63</v>
      </c>
      <c r="AH806" t="s">
        <v>3635</v>
      </c>
      <c r="AI806" t="str">
        <f t="shared" si="90"/>
        <v>Low-Risk</v>
      </c>
    </row>
    <row r="807" spans="1:35" x14ac:dyDescent="0.35">
      <c r="A807" t="s">
        <v>2954</v>
      </c>
      <c r="B807" t="s">
        <v>2955</v>
      </c>
      <c r="C807" t="s">
        <v>2956</v>
      </c>
      <c r="D807" s="1">
        <v>44896</v>
      </c>
      <c r="E807" s="1" t="str">
        <f t="shared" si="84"/>
        <v>01</v>
      </c>
      <c r="F807" s="1" t="str">
        <f t="shared" si="85"/>
        <v>Dec</v>
      </c>
      <c r="G807" s="6" t="s">
        <v>34</v>
      </c>
      <c r="H807" s="5">
        <v>7344.07</v>
      </c>
      <c r="I807" s="5" t="str">
        <f>IF(fin_table[[#This Row],[Account Balance]]&lt;20000,"Active", "Not Active")</f>
        <v>Active</v>
      </c>
      <c r="J807" s="5">
        <v>16892.939999999999</v>
      </c>
      <c r="K807" s="5" t="str">
        <f t="shared" si="86"/>
        <v>Medium</v>
      </c>
      <c r="L807" s="6" t="s">
        <v>24</v>
      </c>
      <c r="M807">
        <v>55</v>
      </c>
      <c r="N807" s="6" t="str">
        <f t="shared" si="87"/>
        <v>Older Adults</v>
      </c>
      <c r="O807" s="6" t="s">
        <v>42</v>
      </c>
      <c r="P807" s="6" t="s">
        <v>50</v>
      </c>
      <c r="Q807" t="s">
        <v>2957</v>
      </c>
      <c r="R807" s="6" t="s">
        <v>52</v>
      </c>
      <c r="S807" s="6" t="s">
        <v>62</v>
      </c>
      <c r="T807" s="14">
        <v>3.1600000000000003E-2</v>
      </c>
      <c r="U807">
        <v>3.16</v>
      </c>
      <c r="V807" t="str">
        <f>IF(fin_table[[#This Row],[Interest Rate(%)]]&gt;4,"high","low")</f>
        <v>low</v>
      </c>
      <c r="W807" s="5">
        <v>26681.654999999999</v>
      </c>
      <c r="X807" s="5">
        <f>fin_table[[#This Row],[Interest Rate]]*fin_table[[#This Row],[Loan Amount]]</f>
        <v>843.14029800000003</v>
      </c>
      <c r="Y807">
        <v>13</v>
      </c>
      <c r="Z807" s="3">
        <v>346</v>
      </c>
      <c r="AA807" s="3" t="str">
        <f t="shared" si="88"/>
        <v>Poor</v>
      </c>
      <c r="AB807" s="3" cm="1">
        <f t="array" ref="AB807">_xlfn.IFS(fin_table[[#This Row],[Transaction Status]]="Failed", 1, fin_table[[#This Row],[Transaction Status]]="Completed",0,fin_table[[#This Row],[Transaction Status]]="Pending",2)</f>
        <v>2</v>
      </c>
      <c r="AC807" s="3" t="str">
        <f>IF(fin_table[[#This Row],[Loan Defaulters]]=1,"Default", "Good")</f>
        <v>Good</v>
      </c>
      <c r="AD807" s="3">
        <f t="shared" si="89"/>
        <v>1</v>
      </c>
      <c r="AE807" s="4">
        <v>13983.99</v>
      </c>
      <c r="AF807" s="4" t="str">
        <f>IF(fin_table[[#This Row],[Monthly Income]]&lt;3000, "Low Income", IF(fin_table[[#This Row],[Monthly Income]]&lt;=5000, "Middle Income", "High Income"))</f>
        <v>High Income</v>
      </c>
      <c r="AG807" t="s">
        <v>30</v>
      </c>
      <c r="AH807" t="s">
        <v>3635</v>
      </c>
      <c r="AI807" t="str">
        <f t="shared" si="90"/>
        <v>Low-Risk</v>
      </c>
    </row>
    <row r="808" spans="1:35" x14ac:dyDescent="0.35">
      <c r="A808" t="s">
        <v>2958</v>
      </c>
      <c r="B808" t="s">
        <v>2959</v>
      </c>
      <c r="C808" t="s">
        <v>2960</v>
      </c>
      <c r="D808" s="1">
        <v>45121</v>
      </c>
      <c r="E808" s="1" t="str">
        <f t="shared" si="84"/>
        <v>14</v>
      </c>
      <c r="F808" s="1" t="str">
        <f t="shared" si="85"/>
        <v>Jul</v>
      </c>
      <c r="G808" s="6" t="s">
        <v>56</v>
      </c>
      <c r="H808" s="5">
        <v>6442.29</v>
      </c>
      <c r="I808" s="5" t="str">
        <f>IF(fin_table[[#This Row],[Account Balance]]&lt;20000,"Active", "Not Active")</f>
        <v>Active</v>
      </c>
      <c r="J808" s="5">
        <v>12460.95</v>
      </c>
      <c r="K808" s="5" t="str">
        <f t="shared" si="86"/>
        <v>Medium</v>
      </c>
      <c r="L808" s="6" t="s">
        <v>49</v>
      </c>
      <c r="M808">
        <v>29</v>
      </c>
      <c r="N808" s="6" t="str">
        <f t="shared" si="87"/>
        <v>Adults</v>
      </c>
      <c r="O808" s="6" t="s">
        <v>25</v>
      </c>
      <c r="P808" s="6" t="s">
        <v>26</v>
      </c>
      <c r="Q808" t="s">
        <v>2961</v>
      </c>
      <c r="R808" s="6" t="s">
        <v>38</v>
      </c>
      <c r="S808" s="6" t="s">
        <v>29</v>
      </c>
      <c r="T808" s="14">
        <v>1.52E-2</v>
      </c>
      <c r="U808">
        <v>1.52</v>
      </c>
      <c r="V808" t="str">
        <f>IF(fin_table[[#This Row],[Interest Rate(%)]]&gt;4,"high","low")</f>
        <v>low</v>
      </c>
      <c r="W808" s="5">
        <v>10939.23</v>
      </c>
      <c r="X808" s="5">
        <f>fin_table[[#This Row],[Interest Rate]]*fin_table[[#This Row],[Loan Amount]]</f>
        <v>166.276296</v>
      </c>
      <c r="Y808">
        <v>14</v>
      </c>
      <c r="Z808" s="3">
        <v>323</v>
      </c>
      <c r="AA808" s="3" t="str">
        <f t="shared" si="88"/>
        <v>Poor</v>
      </c>
      <c r="AB808" s="3" cm="1">
        <f t="array" ref="AB808">_xlfn.IFS(fin_table[[#This Row],[Transaction Status]]="Failed", 1, fin_table[[#This Row],[Transaction Status]]="Completed",0,fin_table[[#This Row],[Transaction Status]]="Pending",2)</f>
        <v>1</v>
      </c>
      <c r="AC808" s="3" t="str">
        <f>IF(fin_table[[#This Row],[Loan Defaulters]]=1,"Default", "Good")</f>
        <v>Default</v>
      </c>
      <c r="AD808" s="3">
        <f t="shared" si="89"/>
        <v>1</v>
      </c>
      <c r="AE808" s="4">
        <v>2471.2800000000002</v>
      </c>
      <c r="AF808" s="4" t="str">
        <f>IF(fin_table[[#This Row],[Monthly Income]]&lt;3000, "Low Income", IF(fin_table[[#This Row],[Monthly Income]]&lt;=5000, "Middle Income", "High Income"))</f>
        <v>Low Income</v>
      </c>
      <c r="AG808" t="s">
        <v>45</v>
      </c>
      <c r="AH808" t="s">
        <v>3636</v>
      </c>
      <c r="AI808" t="str">
        <f t="shared" si="90"/>
        <v>Low-Risk</v>
      </c>
    </row>
    <row r="809" spans="1:35" x14ac:dyDescent="0.35">
      <c r="A809" t="s">
        <v>2962</v>
      </c>
      <c r="B809" t="s">
        <v>2963</v>
      </c>
      <c r="C809" t="s">
        <v>2964</v>
      </c>
      <c r="D809" s="1">
        <v>44896</v>
      </c>
      <c r="E809" s="1" t="str">
        <f t="shared" si="84"/>
        <v>01</v>
      </c>
      <c r="F809" s="1" t="str">
        <f t="shared" si="85"/>
        <v>Dec</v>
      </c>
      <c r="G809" s="6" t="s">
        <v>71</v>
      </c>
      <c r="H809" s="5">
        <v>4217.84</v>
      </c>
      <c r="I809" s="5" t="str">
        <f>IF(fin_table[[#This Row],[Account Balance]]&lt;20000,"Active", "Not Active")</f>
        <v>Active</v>
      </c>
      <c r="J809" s="5">
        <v>11333.43</v>
      </c>
      <c r="K809" s="5" t="str">
        <f t="shared" si="86"/>
        <v>Medium</v>
      </c>
      <c r="L809" s="6" t="s">
        <v>125</v>
      </c>
      <c r="M809">
        <v>56</v>
      </c>
      <c r="N809" s="6" t="str">
        <f t="shared" si="87"/>
        <v>Older Adults</v>
      </c>
      <c r="O809" s="6" t="s">
        <v>25</v>
      </c>
      <c r="P809" s="6" t="s">
        <v>26</v>
      </c>
      <c r="Q809" t="s">
        <v>1254</v>
      </c>
      <c r="R809" s="6" t="s">
        <v>28</v>
      </c>
      <c r="S809" s="6" t="s">
        <v>62</v>
      </c>
      <c r="T809" s="14">
        <v>3.1099999999999999E-2</v>
      </c>
      <c r="U809">
        <v>3.11</v>
      </c>
      <c r="V809" t="str">
        <f>IF(fin_table[[#This Row],[Interest Rate(%)]]&gt;4,"high","low")</f>
        <v>low</v>
      </c>
      <c r="W809" s="5">
        <v>48012.39</v>
      </c>
      <c r="X809" s="5">
        <f>fin_table[[#This Row],[Interest Rate]]*fin_table[[#This Row],[Loan Amount]]</f>
        <v>1493.1853289999999</v>
      </c>
      <c r="Y809">
        <v>13</v>
      </c>
      <c r="Z809" s="3">
        <v>388</v>
      </c>
      <c r="AA809" s="3" t="str">
        <f t="shared" si="88"/>
        <v>Poor</v>
      </c>
      <c r="AB809" s="3" cm="1">
        <f t="array" ref="AB809">_xlfn.IFS(fin_table[[#This Row],[Transaction Status]]="Failed", 1, fin_table[[#This Row],[Transaction Status]]="Completed",0,fin_table[[#This Row],[Transaction Status]]="Pending",2)</f>
        <v>2</v>
      </c>
      <c r="AC809" s="3" t="str">
        <f>IF(fin_table[[#This Row],[Loan Defaulters]]=1,"Default", "Good")</f>
        <v>Good</v>
      </c>
      <c r="AD809" s="3">
        <f t="shared" si="89"/>
        <v>1</v>
      </c>
      <c r="AE809" s="4">
        <v>13129.69</v>
      </c>
      <c r="AF809" s="4" t="str">
        <f>IF(fin_table[[#This Row],[Monthly Income]]&lt;3000, "Low Income", IF(fin_table[[#This Row],[Monthly Income]]&lt;=5000, "Middle Income", "High Income"))</f>
        <v>High Income</v>
      </c>
      <c r="AG809" t="s">
        <v>30</v>
      </c>
      <c r="AH809" t="s">
        <v>3636</v>
      </c>
      <c r="AI809" t="str">
        <f t="shared" si="90"/>
        <v>High-Risk</v>
      </c>
    </row>
    <row r="810" spans="1:35" x14ac:dyDescent="0.35">
      <c r="A810" t="s">
        <v>2965</v>
      </c>
      <c r="B810" t="s">
        <v>2966</v>
      </c>
      <c r="C810" t="s">
        <v>2967</v>
      </c>
      <c r="D810" s="1">
        <v>44910</v>
      </c>
      <c r="E810" s="1" t="str">
        <f t="shared" si="84"/>
        <v>15</v>
      </c>
      <c r="F810" s="1" t="str">
        <f t="shared" si="85"/>
        <v>Dec</v>
      </c>
      <c r="G810" s="6" t="s">
        <v>71</v>
      </c>
      <c r="H810" s="5">
        <v>7614.78</v>
      </c>
      <c r="I810" s="5" t="str">
        <f>IF(fin_table[[#This Row],[Account Balance]]&lt;20000,"Active", "Not Active")</f>
        <v>Not Active</v>
      </c>
      <c r="J810" s="5">
        <v>43002.39</v>
      </c>
      <c r="K810" s="5" t="str">
        <f t="shared" si="86"/>
        <v>Medium</v>
      </c>
      <c r="L810" s="6" t="s">
        <v>35</v>
      </c>
      <c r="M810">
        <v>35</v>
      </c>
      <c r="N810" s="6" t="str">
        <f t="shared" si="87"/>
        <v>Adults</v>
      </c>
      <c r="O810" s="6" t="s">
        <v>42</v>
      </c>
      <c r="P810" s="6" t="s">
        <v>50</v>
      </c>
      <c r="Q810" t="s">
        <v>355</v>
      </c>
      <c r="R810" s="6" t="s">
        <v>28</v>
      </c>
      <c r="S810" s="6" t="s">
        <v>29</v>
      </c>
      <c r="T810" s="14">
        <v>2.58E-2</v>
      </c>
      <c r="U810">
        <v>2.58</v>
      </c>
      <c r="V810" t="str">
        <f>IF(fin_table[[#This Row],[Interest Rate(%)]]&gt;4,"high","low")</f>
        <v>low</v>
      </c>
      <c r="W810" s="5">
        <v>26681.654999999999</v>
      </c>
      <c r="X810" s="5">
        <f>fin_table[[#This Row],[Interest Rate]]*fin_table[[#This Row],[Loan Amount]]</f>
        <v>688.38669900000002</v>
      </c>
      <c r="Y810">
        <v>13</v>
      </c>
      <c r="Z810" s="3">
        <v>473</v>
      </c>
      <c r="AA810" s="3" t="str">
        <f t="shared" si="88"/>
        <v>Poor</v>
      </c>
      <c r="AB810" s="3" cm="1">
        <f t="array" ref="AB810">_xlfn.IFS(fin_table[[#This Row],[Transaction Status]]="Failed", 1, fin_table[[#This Row],[Transaction Status]]="Completed",0,fin_table[[#This Row],[Transaction Status]]="Pending",2)</f>
        <v>1</v>
      </c>
      <c r="AC810" s="3" t="str">
        <f>IF(fin_table[[#This Row],[Loan Defaulters]]=1,"Default", "Good")</f>
        <v>Default</v>
      </c>
      <c r="AD810" s="3">
        <f t="shared" si="89"/>
        <v>1</v>
      </c>
      <c r="AE810" s="4">
        <v>5000.63</v>
      </c>
      <c r="AF810" s="4" t="str">
        <f>IF(fin_table[[#This Row],[Monthly Income]]&lt;3000, "Low Income", IF(fin_table[[#This Row],[Monthly Income]]&lt;=5000, "Middle Income", "High Income"))</f>
        <v>High Income</v>
      </c>
      <c r="AG810" t="s">
        <v>45</v>
      </c>
      <c r="AH810" t="s">
        <v>3635</v>
      </c>
      <c r="AI810" t="str">
        <f t="shared" si="90"/>
        <v>Low-Risk</v>
      </c>
    </row>
    <row r="811" spans="1:35" x14ac:dyDescent="0.35">
      <c r="A811" t="s">
        <v>2968</v>
      </c>
      <c r="B811" t="s">
        <v>2969</v>
      </c>
      <c r="C811" t="s">
        <v>2970</v>
      </c>
      <c r="D811" s="1">
        <v>44819</v>
      </c>
      <c r="E811" s="1" t="str">
        <f t="shared" si="84"/>
        <v>15</v>
      </c>
      <c r="F811" s="1" t="str">
        <f t="shared" si="85"/>
        <v>Sep</v>
      </c>
      <c r="G811" s="6" t="s">
        <v>23</v>
      </c>
      <c r="H811" s="5">
        <v>6135.35</v>
      </c>
      <c r="I811" s="5" t="str">
        <f>IF(fin_table[[#This Row],[Account Balance]]&lt;20000,"Active", "Not Active")</f>
        <v>Not Active</v>
      </c>
      <c r="J811" s="5">
        <v>41200.910000000003</v>
      </c>
      <c r="K811" s="5" t="str">
        <f t="shared" si="86"/>
        <v>Medium</v>
      </c>
      <c r="L811" s="6" t="s">
        <v>35</v>
      </c>
      <c r="M811">
        <v>19</v>
      </c>
      <c r="N811" s="6" t="str">
        <f t="shared" si="87"/>
        <v>Young Adults</v>
      </c>
      <c r="O811" s="6" t="s">
        <v>42</v>
      </c>
      <c r="P811" s="6" t="s">
        <v>36</v>
      </c>
      <c r="Q811" t="s">
        <v>2971</v>
      </c>
      <c r="R811" s="6" t="s">
        <v>38</v>
      </c>
      <c r="S811" s="6" t="s">
        <v>44</v>
      </c>
      <c r="T811" s="14">
        <v>1.72E-2</v>
      </c>
      <c r="U811">
        <v>1.72</v>
      </c>
      <c r="V811" t="str">
        <f>IF(fin_table[[#This Row],[Interest Rate(%)]]&gt;4,"high","low")</f>
        <v>low</v>
      </c>
      <c r="W811" s="5">
        <v>26681.654999999999</v>
      </c>
      <c r="X811" s="5">
        <f>fin_table[[#This Row],[Interest Rate]]*fin_table[[#This Row],[Loan Amount]]</f>
        <v>458.924466</v>
      </c>
      <c r="Y811">
        <v>11</v>
      </c>
      <c r="Z811" s="3">
        <v>418</v>
      </c>
      <c r="AA811" s="3" t="str">
        <f t="shared" si="88"/>
        <v>Poor</v>
      </c>
      <c r="AB811" s="3" cm="1">
        <f t="array" ref="AB811">_xlfn.IFS(fin_table[[#This Row],[Transaction Status]]="Failed", 1, fin_table[[#This Row],[Transaction Status]]="Completed",0,fin_table[[#This Row],[Transaction Status]]="Pending",2)</f>
        <v>0</v>
      </c>
      <c r="AC811" s="3" t="str">
        <f>IF(fin_table[[#This Row],[Loan Defaulters]]=1,"Default", "Good")</f>
        <v>Good</v>
      </c>
      <c r="AD811" s="3">
        <f t="shared" si="89"/>
        <v>1</v>
      </c>
      <c r="AE811" s="4">
        <v>13033.57</v>
      </c>
      <c r="AF811" s="4" t="str">
        <f>IF(fin_table[[#This Row],[Monthly Income]]&lt;3000, "Low Income", IF(fin_table[[#This Row],[Monthly Income]]&lt;=5000, "Middle Income", "High Income"))</f>
        <v>High Income</v>
      </c>
      <c r="AG811" t="s">
        <v>30</v>
      </c>
      <c r="AH811" t="s">
        <v>3635</v>
      </c>
      <c r="AI811" t="str">
        <f t="shared" si="90"/>
        <v>Low-Risk</v>
      </c>
    </row>
    <row r="812" spans="1:35" x14ac:dyDescent="0.35">
      <c r="A812" t="s">
        <v>2972</v>
      </c>
      <c r="B812" t="s">
        <v>2973</v>
      </c>
      <c r="C812" t="s">
        <v>2974</v>
      </c>
      <c r="D812" s="1">
        <v>45105</v>
      </c>
      <c r="E812" s="1" t="str">
        <f t="shared" si="84"/>
        <v>28</v>
      </c>
      <c r="F812" s="1" t="str">
        <f t="shared" si="85"/>
        <v>Jun</v>
      </c>
      <c r="G812" s="6" t="s">
        <v>34</v>
      </c>
      <c r="H812" s="5">
        <v>8970.7999999999993</v>
      </c>
      <c r="I812" s="5" t="str">
        <f>IF(fin_table[[#This Row],[Account Balance]]&lt;20000,"Active", "Not Active")</f>
        <v>Not Active</v>
      </c>
      <c r="J812" s="5">
        <v>22588.1</v>
      </c>
      <c r="K812" s="5" t="str">
        <f t="shared" si="86"/>
        <v>Medium</v>
      </c>
      <c r="L812" s="6" t="s">
        <v>49</v>
      </c>
      <c r="M812">
        <v>27</v>
      </c>
      <c r="N812" s="6" t="str">
        <f t="shared" si="87"/>
        <v>Adults</v>
      </c>
      <c r="O812" s="6" t="s">
        <v>25</v>
      </c>
      <c r="P812" s="6" t="s">
        <v>50</v>
      </c>
      <c r="Q812" t="s">
        <v>2975</v>
      </c>
      <c r="R812" s="6" t="s">
        <v>52</v>
      </c>
      <c r="S812" s="6" t="s">
        <v>62</v>
      </c>
      <c r="T812" s="14">
        <v>4.3700000000000003E-2</v>
      </c>
      <c r="U812">
        <v>4.37</v>
      </c>
      <c r="V812" t="str">
        <f>IF(fin_table[[#This Row],[Interest Rate(%)]]&gt;4,"high","low")</f>
        <v>high</v>
      </c>
      <c r="W812" s="5">
        <v>29218.75</v>
      </c>
      <c r="X812" s="5">
        <f>fin_table[[#This Row],[Interest Rate]]*fin_table[[#This Row],[Loan Amount]]</f>
        <v>1276.859375</v>
      </c>
      <c r="Y812">
        <v>4</v>
      </c>
      <c r="Z812" s="3">
        <v>477</v>
      </c>
      <c r="AA812" s="3" t="str">
        <f t="shared" si="88"/>
        <v>Poor</v>
      </c>
      <c r="AB812" s="3" cm="1">
        <f t="array" ref="AB812">_xlfn.IFS(fin_table[[#This Row],[Transaction Status]]="Failed", 1, fin_table[[#This Row],[Transaction Status]]="Completed",0,fin_table[[#This Row],[Transaction Status]]="Pending",2)</f>
        <v>2</v>
      </c>
      <c r="AC812" s="3" t="str">
        <f>IF(fin_table[[#This Row],[Loan Defaulters]]=1,"Default", "Good")</f>
        <v>Good</v>
      </c>
      <c r="AD812" s="3">
        <f t="shared" si="89"/>
        <v>1</v>
      </c>
      <c r="AE812" s="4">
        <v>3809.56</v>
      </c>
      <c r="AF812" s="4" t="str">
        <f>IF(fin_table[[#This Row],[Monthly Income]]&lt;3000, "Low Income", IF(fin_table[[#This Row],[Monthly Income]]&lt;=5000, "Middle Income", "High Income"))</f>
        <v>Middle Income</v>
      </c>
      <c r="AG812" t="s">
        <v>30</v>
      </c>
      <c r="AH812" t="s">
        <v>3636</v>
      </c>
      <c r="AI812" t="str">
        <f t="shared" si="90"/>
        <v>Low-Risk</v>
      </c>
    </row>
    <row r="813" spans="1:35" x14ac:dyDescent="0.35">
      <c r="A813" t="s">
        <v>2976</v>
      </c>
      <c r="B813" t="s">
        <v>2244</v>
      </c>
      <c r="C813" t="s">
        <v>2977</v>
      </c>
      <c r="D813" s="1">
        <v>44755</v>
      </c>
      <c r="E813" s="1" t="str">
        <f t="shared" si="84"/>
        <v>13</v>
      </c>
      <c r="F813" s="1" t="str">
        <f t="shared" si="85"/>
        <v>Jul</v>
      </c>
      <c r="G813" s="6" t="s">
        <v>71</v>
      </c>
      <c r="H813" s="5">
        <v>8198.4599999999991</v>
      </c>
      <c r="I813" s="5" t="str">
        <f>IF(fin_table[[#This Row],[Account Balance]]&lt;20000,"Active", "Not Active")</f>
        <v>Active</v>
      </c>
      <c r="J813" s="5">
        <v>7487.83</v>
      </c>
      <c r="K813" s="5" t="str">
        <f t="shared" si="86"/>
        <v>Low</v>
      </c>
      <c r="L813" s="6" t="s">
        <v>100</v>
      </c>
      <c r="M813">
        <v>32</v>
      </c>
      <c r="N813" s="6" t="str">
        <f t="shared" si="87"/>
        <v>Adults</v>
      </c>
      <c r="O813" s="6" t="s">
        <v>42</v>
      </c>
      <c r="P813" s="6" t="s">
        <v>36</v>
      </c>
      <c r="Q813" t="s">
        <v>57</v>
      </c>
      <c r="R813" s="6" t="s">
        <v>38</v>
      </c>
      <c r="S813" s="6" t="s">
        <v>44</v>
      </c>
      <c r="T813" s="14">
        <v>1.04E-2</v>
      </c>
      <c r="U813">
        <v>1.04</v>
      </c>
      <c r="V813" t="str">
        <f>IF(fin_table[[#This Row],[Interest Rate(%)]]&gt;4,"high","low")</f>
        <v>low</v>
      </c>
      <c r="W813" s="5">
        <v>26681.654999999999</v>
      </c>
      <c r="X813" s="5">
        <f>fin_table[[#This Row],[Interest Rate]]*fin_table[[#This Row],[Loan Amount]]</f>
        <v>277.48921199999995</v>
      </c>
      <c r="Y813">
        <v>17</v>
      </c>
      <c r="Z813" s="3">
        <v>641</v>
      </c>
      <c r="AA813" s="3" t="str">
        <f t="shared" si="88"/>
        <v>Fair</v>
      </c>
      <c r="AB813" s="3" cm="1">
        <f t="array" ref="AB813">_xlfn.IFS(fin_table[[#This Row],[Transaction Status]]="Failed", 1, fin_table[[#This Row],[Transaction Status]]="Completed",0,fin_table[[#This Row],[Transaction Status]]="Pending",2)</f>
        <v>0</v>
      </c>
      <c r="AC813" s="3" t="str">
        <f>IF(fin_table[[#This Row],[Loan Defaulters]]=1,"Default", "Good")</f>
        <v>Good</v>
      </c>
      <c r="AD813" s="3">
        <f t="shared" si="89"/>
        <v>2</v>
      </c>
      <c r="AE813" s="4">
        <v>9542.85</v>
      </c>
      <c r="AF813" s="4" t="str">
        <f>IF(fin_table[[#This Row],[Monthly Income]]&lt;3000, "Low Income", IF(fin_table[[#This Row],[Monthly Income]]&lt;=5000, "Middle Income", "High Income"))</f>
        <v>High Income</v>
      </c>
      <c r="AG813" t="s">
        <v>30</v>
      </c>
      <c r="AH813" t="s">
        <v>3635</v>
      </c>
      <c r="AI813" t="str">
        <f t="shared" si="90"/>
        <v>Low-Risk</v>
      </c>
    </row>
    <row r="814" spans="1:35" x14ac:dyDescent="0.35">
      <c r="A814" t="s">
        <v>2978</v>
      </c>
      <c r="B814" t="s">
        <v>2979</v>
      </c>
      <c r="C814" t="s">
        <v>2980</v>
      </c>
      <c r="D814" s="1">
        <v>45148</v>
      </c>
      <c r="E814" s="1" t="str">
        <f t="shared" si="84"/>
        <v>10</v>
      </c>
      <c r="F814" s="1" t="str">
        <f t="shared" si="85"/>
        <v>Aug</v>
      </c>
      <c r="G814" s="6" t="s">
        <v>56</v>
      </c>
      <c r="H814" s="5">
        <v>2602.85</v>
      </c>
      <c r="I814" s="5" t="str">
        <f>IF(fin_table[[#This Row],[Account Balance]]&lt;20000,"Active", "Not Active")</f>
        <v>Active</v>
      </c>
      <c r="J814" s="5">
        <v>19730.36</v>
      </c>
      <c r="K814" s="5" t="str">
        <f t="shared" si="86"/>
        <v>Medium</v>
      </c>
      <c r="L814" s="6" t="s">
        <v>125</v>
      </c>
      <c r="M814">
        <v>47</v>
      </c>
      <c r="N814" s="6" t="str">
        <f t="shared" si="87"/>
        <v>Older Adults</v>
      </c>
      <c r="O814" s="6" t="s">
        <v>42</v>
      </c>
      <c r="P814" s="6" t="s">
        <v>50</v>
      </c>
      <c r="Q814" t="s">
        <v>2039</v>
      </c>
      <c r="R814" s="6" t="s">
        <v>28</v>
      </c>
      <c r="S814" s="6" t="s">
        <v>29</v>
      </c>
      <c r="T814" s="14">
        <v>2.2499999999999999E-2</v>
      </c>
      <c r="U814">
        <v>2.25</v>
      </c>
      <c r="V814" t="str">
        <f>IF(fin_table[[#This Row],[Interest Rate(%)]]&gt;4,"high","low")</f>
        <v>low</v>
      </c>
      <c r="W814" s="5">
        <v>27264.080000000002</v>
      </c>
      <c r="X814" s="5">
        <f>fin_table[[#This Row],[Interest Rate]]*fin_table[[#This Row],[Loan Amount]]</f>
        <v>613.44180000000006</v>
      </c>
      <c r="Y814">
        <v>13</v>
      </c>
      <c r="Z814" s="3">
        <v>358</v>
      </c>
      <c r="AA814" s="3" t="str">
        <f t="shared" si="88"/>
        <v>Poor</v>
      </c>
      <c r="AB814" s="3" cm="1">
        <f t="array" ref="AB814">_xlfn.IFS(fin_table[[#This Row],[Transaction Status]]="Failed", 1, fin_table[[#This Row],[Transaction Status]]="Completed",0,fin_table[[#This Row],[Transaction Status]]="Pending",2)</f>
        <v>1</v>
      </c>
      <c r="AC814" s="3" t="str">
        <f>IF(fin_table[[#This Row],[Loan Defaulters]]=1,"Default", "Good")</f>
        <v>Default</v>
      </c>
      <c r="AD814" s="3">
        <f t="shared" si="89"/>
        <v>1</v>
      </c>
      <c r="AE814" s="4">
        <v>13545.4</v>
      </c>
      <c r="AF814" s="4" t="str">
        <f>IF(fin_table[[#This Row],[Monthly Income]]&lt;3000, "Low Income", IF(fin_table[[#This Row],[Monthly Income]]&lt;=5000, "Middle Income", "High Income"))</f>
        <v>High Income</v>
      </c>
      <c r="AG814" t="s">
        <v>63</v>
      </c>
      <c r="AH814" t="s">
        <v>3636</v>
      </c>
      <c r="AI814" t="str">
        <f t="shared" si="90"/>
        <v>Low-Risk</v>
      </c>
    </row>
    <row r="815" spans="1:35" x14ac:dyDescent="0.35">
      <c r="A815" t="s">
        <v>2981</v>
      </c>
      <c r="B815" t="s">
        <v>2982</v>
      </c>
      <c r="C815" t="s">
        <v>2983</v>
      </c>
      <c r="D815" s="1">
        <v>44900</v>
      </c>
      <c r="E815" s="1" t="str">
        <f t="shared" si="84"/>
        <v>05</v>
      </c>
      <c r="F815" s="1" t="str">
        <f t="shared" si="85"/>
        <v>Dec</v>
      </c>
      <c r="G815" s="6" t="s">
        <v>56</v>
      </c>
      <c r="H815" s="5">
        <v>2787.24</v>
      </c>
      <c r="I815" s="5" t="str">
        <f>IF(fin_table[[#This Row],[Account Balance]]&lt;20000,"Active", "Not Active")</f>
        <v>Not Active</v>
      </c>
      <c r="J815" s="5">
        <v>31347.83</v>
      </c>
      <c r="K815" s="5" t="str">
        <f t="shared" si="86"/>
        <v>Medium</v>
      </c>
      <c r="L815" s="6" t="s">
        <v>24</v>
      </c>
      <c r="M815">
        <v>61</v>
      </c>
      <c r="N815" s="6" t="str">
        <f t="shared" si="87"/>
        <v>Seniors</v>
      </c>
      <c r="O815" s="6" t="s">
        <v>42</v>
      </c>
      <c r="P815" s="6" t="s">
        <v>26</v>
      </c>
      <c r="Q815" t="s">
        <v>2984</v>
      </c>
      <c r="R815" s="6" t="s">
        <v>52</v>
      </c>
      <c r="S815" s="6" t="s">
        <v>29</v>
      </c>
      <c r="T815" s="14">
        <v>1.0500000000000001E-2</v>
      </c>
      <c r="U815">
        <v>1.05</v>
      </c>
      <c r="V815" t="str">
        <f>IF(fin_table[[#This Row],[Interest Rate(%)]]&gt;4,"high","low")</f>
        <v>low</v>
      </c>
      <c r="W815" s="5">
        <v>18498.830000000002</v>
      </c>
      <c r="X815" s="5">
        <f>fin_table[[#This Row],[Interest Rate]]*fin_table[[#This Row],[Loan Amount]]</f>
        <v>194.23771500000004</v>
      </c>
      <c r="Y815">
        <v>13</v>
      </c>
      <c r="Z815" s="3">
        <v>737</v>
      </c>
      <c r="AA815" s="3" t="str">
        <f t="shared" si="88"/>
        <v>Good</v>
      </c>
      <c r="AB815" s="3" cm="1">
        <f t="array" ref="AB815">_xlfn.IFS(fin_table[[#This Row],[Transaction Status]]="Failed", 1, fin_table[[#This Row],[Transaction Status]]="Completed",0,fin_table[[#This Row],[Transaction Status]]="Pending",2)</f>
        <v>1</v>
      </c>
      <c r="AC815" s="3" t="str">
        <f>IF(fin_table[[#This Row],[Loan Defaulters]]=1,"Default", "Good")</f>
        <v>Default</v>
      </c>
      <c r="AD815" s="3">
        <f t="shared" si="89"/>
        <v>3</v>
      </c>
      <c r="AE815" s="4">
        <v>8156.02</v>
      </c>
      <c r="AF815" s="4" t="str">
        <f>IF(fin_table[[#This Row],[Monthly Income]]&lt;3000, "Low Income", IF(fin_table[[#This Row],[Monthly Income]]&lt;=5000, "Middle Income", "High Income"))</f>
        <v>High Income</v>
      </c>
      <c r="AG815" t="s">
        <v>63</v>
      </c>
      <c r="AH815" t="s">
        <v>3636</v>
      </c>
      <c r="AI815" t="str">
        <f t="shared" si="90"/>
        <v>Low-Risk</v>
      </c>
    </row>
    <row r="816" spans="1:35" x14ac:dyDescent="0.35">
      <c r="A816" t="s">
        <v>2985</v>
      </c>
      <c r="B816" t="s">
        <v>2986</v>
      </c>
      <c r="C816" t="s">
        <v>2987</v>
      </c>
      <c r="D816" s="1">
        <v>44813</v>
      </c>
      <c r="E816" s="1" t="str">
        <f t="shared" si="84"/>
        <v>09</v>
      </c>
      <c r="F816" s="1" t="str">
        <f t="shared" si="85"/>
        <v>Sep</v>
      </c>
      <c r="G816" s="6" t="s">
        <v>34</v>
      </c>
      <c r="H816" s="5">
        <v>1341.03</v>
      </c>
      <c r="I816" s="5" t="str">
        <f>IF(fin_table[[#This Row],[Account Balance]]&lt;20000,"Active", "Not Active")</f>
        <v>Not Active</v>
      </c>
      <c r="J816" s="5">
        <v>23265.75</v>
      </c>
      <c r="K816" s="5" t="str">
        <f t="shared" si="86"/>
        <v>Medium</v>
      </c>
      <c r="L816" s="6" t="s">
        <v>49</v>
      </c>
      <c r="M816">
        <v>34</v>
      </c>
      <c r="N816" s="6" t="str">
        <f t="shared" si="87"/>
        <v>Adults</v>
      </c>
      <c r="O816" s="6" t="s">
        <v>25</v>
      </c>
      <c r="P816" s="6" t="s">
        <v>36</v>
      </c>
      <c r="Q816" t="s">
        <v>709</v>
      </c>
      <c r="R816" s="6" t="s">
        <v>38</v>
      </c>
      <c r="S816" s="6" t="s">
        <v>29</v>
      </c>
      <c r="T816" s="14">
        <v>1.38E-2</v>
      </c>
      <c r="U816">
        <v>1.38</v>
      </c>
      <c r="V816" t="str">
        <f>IF(fin_table[[#This Row],[Interest Rate(%)]]&gt;4,"high","low")</f>
        <v>low</v>
      </c>
      <c r="W816" s="5">
        <v>12216.84</v>
      </c>
      <c r="X816" s="5">
        <f>fin_table[[#This Row],[Interest Rate]]*fin_table[[#This Row],[Loan Amount]]</f>
        <v>168.59239199999999</v>
      </c>
      <c r="Y816">
        <v>13</v>
      </c>
      <c r="Z816" s="3">
        <v>727</v>
      </c>
      <c r="AA816" s="3" t="str">
        <f t="shared" si="88"/>
        <v>Good</v>
      </c>
      <c r="AB816" s="3" cm="1">
        <f t="array" ref="AB816">_xlfn.IFS(fin_table[[#This Row],[Transaction Status]]="Failed", 1, fin_table[[#This Row],[Transaction Status]]="Completed",0,fin_table[[#This Row],[Transaction Status]]="Pending",2)</f>
        <v>1</v>
      </c>
      <c r="AC816" s="3" t="str">
        <f>IF(fin_table[[#This Row],[Loan Defaulters]]=1,"Default", "Good")</f>
        <v>Default</v>
      </c>
      <c r="AD816" s="3">
        <f t="shared" si="89"/>
        <v>3</v>
      </c>
      <c r="AE816" s="4">
        <v>11705.37</v>
      </c>
      <c r="AF816" s="4" t="str">
        <f>IF(fin_table[[#This Row],[Monthly Income]]&lt;3000, "Low Income", IF(fin_table[[#This Row],[Monthly Income]]&lt;=5000, "Middle Income", "High Income"))</f>
        <v>High Income</v>
      </c>
      <c r="AG816" t="s">
        <v>45</v>
      </c>
      <c r="AH816" t="s">
        <v>3636</v>
      </c>
      <c r="AI816" t="str">
        <f t="shared" si="90"/>
        <v>Low-Risk</v>
      </c>
    </row>
    <row r="817" spans="1:35" x14ac:dyDescent="0.35">
      <c r="A817" t="s">
        <v>2988</v>
      </c>
      <c r="B817" t="s">
        <v>212</v>
      </c>
      <c r="C817" t="s">
        <v>2989</v>
      </c>
      <c r="D817" s="1">
        <v>44803</v>
      </c>
      <c r="E817" s="1" t="str">
        <f t="shared" si="84"/>
        <v>30</v>
      </c>
      <c r="F817" s="1" t="str">
        <f t="shared" si="85"/>
        <v>Aug</v>
      </c>
      <c r="G817" s="6" t="s">
        <v>56</v>
      </c>
      <c r="H817" s="5">
        <v>3435.95</v>
      </c>
      <c r="I817" s="5" t="str">
        <f>IF(fin_table[[#This Row],[Account Balance]]&lt;20000,"Active", "Not Active")</f>
        <v>Not Active</v>
      </c>
      <c r="J817" s="5">
        <v>39229.269999999997</v>
      </c>
      <c r="K817" s="5" t="str">
        <f t="shared" si="86"/>
        <v>Medium</v>
      </c>
      <c r="L817" s="6" t="s">
        <v>125</v>
      </c>
      <c r="M817">
        <v>21</v>
      </c>
      <c r="N817" s="6" t="str">
        <f t="shared" si="87"/>
        <v>Young Adults</v>
      </c>
      <c r="O817" s="6" t="s">
        <v>42</v>
      </c>
      <c r="P817" s="6" t="s">
        <v>26</v>
      </c>
      <c r="Q817" t="s">
        <v>1121</v>
      </c>
      <c r="R817" s="6" t="s">
        <v>52</v>
      </c>
      <c r="S817" s="6" t="s">
        <v>29</v>
      </c>
      <c r="T817" s="14">
        <v>2.1899999999999999E-2</v>
      </c>
      <c r="U817">
        <v>2.19</v>
      </c>
      <c r="V817" t="str">
        <f>IF(fin_table[[#This Row],[Interest Rate(%)]]&gt;4,"high","low")</f>
        <v>low</v>
      </c>
      <c r="W817" s="5">
        <v>26681.654999999999</v>
      </c>
      <c r="X817" s="5">
        <f>fin_table[[#This Row],[Interest Rate]]*fin_table[[#This Row],[Loan Amount]]</f>
        <v>584.32824449999998</v>
      </c>
      <c r="Y817">
        <v>13</v>
      </c>
      <c r="Z817" s="3">
        <v>725</v>
      </c>
      <c r="AA817" s="3" t="str">
        <f t="shared" si="88"/>
        <v>Good</v>
      </c>
      <c r="AB817" s="3" cm="1">
        <f t="array" ref="AB817">_xlfn.IFS(fin_table[[#This Row],[Transaction Status]]="Failed", 1, fin_table[[#This Row],[Transaction Status]]="Completed",0,fin_table[[#This Row],[Transaction Status]]="Pending",2)</f>
        <v>1</v>
      </c>
      <c r="AC817" s="3" t="str">
        <f>IF(fin_table[[#This Row],[Loan Defaulters]]=1,"Default", "Good")</f>
        <v>Default</v>
      </c>
      <c r="AD817" s="3">
        <f t="shared" si="89"/>
        <v>3</v>
      </c>
      <c r="AE817" s="4">
        <v>12460.73</v>
      </c>
      <c r="AF817" s="4" t="str">
        <f>IF(fin_table[[#This Row],[Monthly Income]]&lt;3000, "Low Income", IF(fin_table[[#This Row],[Monthly Income]]&lt;=5000, "Middle Income", "High Income"))</f>
        <v>High Income</v>
      </c>
      <c r="AG817" t="s">
        <v>30</v>
      </c>
      <c r="AH817" t="s">
        <v>3635</v>
      </c>
      <c r="AI817" t="str">
        <f t="shared" si="90"/>
        <v>Low-Risk</v>
      </c>
    </row>
    <row r="818" spans="1:35" x14ac:dyDescent="0.35">
      <c r="A818" t="s">
        <v>2990</v>
      </c>
      <c r="B818" t="s">
        <v>2991</v>
      </c>
      <c r="C818" t="s">
        <v>2992</v>
      </c>
      <c r="D818" s="1">
        <v>44591</v>
      </c>
      <c r="E818" s="1" t="str">
        <f t="shared" si="84"/>
        <v>30</v>
      </c>
      <c r="F818" s="1" t="str">
        <f t="shared" si="85"/>
        <v>Jan</v>
      </c>
      <c r="G818" s="6" t="s">
        <v>56</v>
      </c>
      <c r="H818" s="5">
        <v>9995.48</v>
      </c>
      <c r="I818" s="5" t="str">
        <f>IF(fin_table[[#This Row],[Account Balance]]&lt;20000,"Active", "Not Active")</f>
        <v>Not Active</v>
      </c>
      <c r="J818" s="5">
        <v>49883.519999999997</v>
      </c>
      <c r="K818" s="5" t="str">
        <f t="shared" si="86"/>
        <v>Medium</v>
      </c>
      <c r="L818" s="6" t="s">
        <v>125</v>
      </c>
      <c r="M818">
        <v>24</v>
      </c>
      <c r="N818" s="6" t="str">
        <f t="shared" si="87"/>
        <v>Young Adults</v>
      </c>
      <c r="O818" s="6" t="s">
        <v>42</v>
      </c>
      <c r="P818" s="6" t="s">
        <v>26</v>
      </c>
      <c r="Q818" t="s">
        <v>1348</v>
      </c>
      <c r="R818" s="6" t="s">
        <v>52</v>
      </c>
      <c r="S818" s="6" t="s">
        <v>29</v>
      </c>
      <c r="T818" s="14">
        <v>1.2200000000000001E-2</v>
      </c>
      <c r="U818">
        <v>1.22</v>
      </c>
      <c r="V818" t="str">
        <f>IF(fin_table[[#This Row],[Interest Rate(%)]]&gt;4,"high","low")</f>
        <v>low</v>
      </c>
      <c r="W818" s="5">
        <v>46824.160000000003</v>
      </c>
      <c r="X818" s="5">
        <f>fin_table[[#This Row],[Interest Rate]]*fin_table[[#This Row],[Loan Amount]]</f>
        <v>571.25475200000005</v>
      </c>
      <c r="Y818">
        <v>21</v>
      </c>
      <c r="Z818" s="3">
        <v>680</v>
      </c>
      <c r="AA818" s="3" t="str">
        <f t="shared" si="88"/>
        <v>Good</v>
      </c>
      <c r="AB818" s="3" cm="1">
        <f t="array" ref="AB818">_xlfn.IFS(fin_table[[#This Row],[Transaction Status]]="Failed", 1, fin_table[[#This Row],[Transaction Status]]="Completed",0,fin_table[[#This Row],[Transaction Status]]="Pending",2)</f>
        <v>1</v>
      </c>
      <c r="AC818" s="3" t="str">
        <f>IF(fin_table[[#This Row],[Loan Defaulters]]=1,"Default", "Good")</f>
        <v>Default</v>
      </c>
      <c r="AD818" s="3">
        <f t="shared" si="89"/>
        <v>3</v>
      </c>
      <c r="AE818" s="4">
        <v>11574.42</v>
      </c>
      <c r="AF818" s="4" t="str">
        <f>IF(fin_table[[#This Row],[Monthly Income]]&lt;3000, "Low Income", IF(fin_table[[#This Row],[Monthly Income]]&lt;=5000, "Middle Income", "High Income"))</f>
        <v>High Income</v>
      </c>
      <c r="AG818" t="s">
        <v>63</v>
      </c>
      <c r="AH818" t="s">
        <v>3636</v>
      </c>
      <c r="AI818" t="str">
        <f t="shared" si="90"/>
        <v>Low-Risk</v>
      </c>
    </row>
    <row r="819" spans="1:35" x14ac:dyDescent="0.35">
      <c r="A819" t="s">
        <v>2993</v>
      </c>
      <c r="B819" t="s">
        <v>2994</v>
      </c>
      <c r="C819" t="s">
        <v>2995</v>
      </c>
      <c r="D819" s="1">
        <v>44907</v>
      </c>
      <c r="E819" s="1" t="str">
        <f t="shared" si="84"/>
        <v>12</v>
      </c>
      <c r="F819" s="1" t="str">
        <f t="shared" si="85"/>
        <v>Dec</v>
      </c>
      <c r="G819" s="6" t="s">
        <v>34</v>
      </c>
      <c r="H819" s="5">
        <v>4116.9399999999996</v>
      </c>
      <c r="I819" s="5" t="str">
        <f>IF(fin_table[[#This Row],[Account Balance]]&lt;20000,"Active", "Not Active")</f>
        <v>Active</v>
      </c>
      <c r="J819" s="5">
        <v>10365.469999999999</v>
      </c>
      <c r="K819" s="5" t="str">
        <f t="shared" si="86"/>
        <v>Medium</v>
      </c>
      <c r="L819" s="6" t="s">
        <v>24</v>
      </c>
      <c r="M819">
        <v>58</v>
      </c>
      <c r="N819" s="6" t="str">
        <f t="shared" si="87"/>
        <v>Older Adults</v>
      </c>
      <c r="O819" s="6" t="s">
        <v>25</v>
      </c>
      <c r="P819" s="6" t="s">
        <v>26</v>
      </c>
      <c r="Q819" t="s">
        <v>1767</v>
      </c>
      <c r="R819" s="6" t="s">
        <v>28</v>
      </c>
      <c r="S819" s="6" t="s">
        <v>62</v>
      </c>
      <c r="T819" s="14">
        <v>3.39E-2</v>
      </c>
      <c r="U819">
        <v>3.39</v>
      </c>
      <c r="V819" t="str">
        <f>IF(fin_table[[#This Row],[Interest Rate(%)]]&gt;4,"high","low")</f>
        <v>low</v>
      </c>
      <c r="W819" s="5">
        <v>11912.83</v>
      </c>
      <c r="X819" s="5">
        <f>fin_table[[#This Row],[Interest Rate]]*fin_table[[#This Row],[Loan Amount]]</f>
        <v>403.84493700000002</v>
      </c>
      <c r="Y819">
        <v>15</v>
      </c>
      <c r="Z819" s="3">
        <v>785</v>
      </c>
      <c r="AA819" s="3" t="str">
        <f t="shared" si="88"/>
        <v>Very Good</v>
      </c>
      <c r="AB819" s="3" cm="1">
        <f t="array" ref="AB819">_xlfn.IFS(fin_table[[#This Row],[Transaction Status]]="Failed", 1, fin_table[[#This Row],[Transaction Status]]="Completed",0,fin_table[[#This Row],[Transaction Status]]="Pending",2)</f>
        <v>2</v>
      </c>
      <c r="AC819" s="3" t="str">
        <f>IF(fin_table[[#This Row],[Loan Defaulters]]=1,"Default", "Good")</f>
        <v>Good</v>
      </c>
      <c r="AD819" s="3">
        <f t="shared" si="89"/>
        <v>4</v>
      </c>
      <c r="AE819" s="4">
        <v>14029.29</v>
      </c>
      <c r="AF819" s="4" t="str">
        <f>IF(fin_table[[#This Row],[Monthly Income]]&lt;3000, "Low Income", IF(fin_table[[#This Row],[Monthly Income]]&lt;=5000, "Middle Income", "High Income"))</f>
        <v>High Income</v>
      </c>
      <c r="AG819" t="s">
        <v>30</v>
      </c>
      <c r="AH819" t="s">
        <v>3636</v>
      </c>
      <c r="AI819" t="str">
        <f t="shared" si="90"/>
        <v>Low-Risk</v>
      </c>
    </row>
    <row r="820" spans="1:35" x14ac:dyDescent="0.35">
      <c r="A820" t="s">
        <v>2996</v>
      </c>
      <c r="B820" t="s">
        <v>2997</v>
      </c>
      <c r="C820" t="s">
        <v>2998</v>
      </c>
      <c r="D820" s="1">
        <v>45153</v>
      </c>
      <c r="E820" s="1" t="str">
        <f t="shared" si="84"/>
        <v>15</v>
      </c>
      <c r="F820" s="1" t="str">
        <f t="shared" si="85"/>
        <v>Aug</v>
      </c>
      <c r="G820" s="6" t="s">
        <v>23</v>
      </c>
      <c r="H820" s="5">
        <v>2282.84</v>
      </c>
      <c r="I820" s="5" t="str">
        <f>IF(fin_table[[#This Row],[Account Balance]]&lt;20000,"Active", "Not Active")</f>
        <v>Not Active</v>
      </c>
      <c r="J820" s="5">
        <v>23522.89</v>
      </c>
      <c r="K820" s="5" t="str">
        <f t="shared" si="86"/>
        <v>Medium</v>
      </c>
      <c r="L820" s="6" t="s">
        <v>125</v>
      </c>
      <c r="M820">
        <v>48</v>
      </c>
      <c r="N820" s="6" t="str">
        <f t="shared" si="87"/>
        <v>Older Adults</v>
      </c>
      <c r="O820" s="6" t="s">
        <v>42</v>
      </c>
      <c r="P820" s="6" t="s">
        <v>26</v>
      </c>
      <c r="Q820" t="s">
        <v>324</v>
      </c>
      <c r="R820" s="6" t="s">
        <v>52</v>
      </c>
      <c r="S820" s="6" t="s">
        <v>29</v>
      </c>
      <c r="T820" s="14">
        <v>1.35E-2</v>
      </c>
      <c r="U820">
        <v>1.35</v>
      </c>
      <c r="V820" t="str">
        <f>IF(fin_table[[#This Row],[Interest Rate(%)]]&gt;4,"high","low")</f>
        <v>low</v>
      </c>
      <c r="W820" s="5">
        <v>26681.654999999999</v>
      </c>
      <c r="X820" s="5">
        <f>fin_table[[#This Row],[Interest Rate]]*fin_table[[#This Row],[Loan Amount]]</f>
        <v>360.20234249999999</v>
      </c>
      <c r="Y820">
        <v>8</v>
      </c>
      <c r="Z820" s="3">
        <v>484</v>
      </c>
      <c r="AA820" s="3" t="str">
        <f t="shared" si="88"/>
        <v>Poor</v>
      </c>
      <c r="AB820" s="3" cm="1">
        <f t="array" ref="AB820">_xlfn.IFS(fin_table[[#This Row],[Transaction Status]]="Failed", 1, fin_table[[#This Row],[Transaction Status]]="Completed",0,fin_table[[#This Row],[Transaction Status]]="Pending",2)</f>
        <v>1</v>
      </c>
      <c r="AC820" s="3" t="str">
        <f>IF(fin_table[[#This Row],[Loan Defaulters]]=1,"Default", "Good")</f>
        <v>Default</v>
      </c>
      <c r="AD820" s="3">
        <f t="shared" si="89"/>
        <v>1</v>
      </c>
      <c r="AE820" s="4">
        <v>7808.84</v>
      </c>
      <c r="AF820" s="4" t="str">
        <f>IF(fin_table[[#This Row],[Monthly Income]]&lt;3000, "Low Income", IF(fin_table[[#This Row],[Monthly Income]]&lt;=5000, "Middle Income", "High Income"))</f>
        <v>High Income</v>
      </c>
      <c r="AG820" t="s">
        <v>45</v>
      </c>
      <c r="AH820" t="s">
        <v>3635</v>
      </c>
      <c r="AI820" t="str">
        <f t="shared" si="90"/>
        <v>Low-Risk</v>
      </c>
    </row>
    <row r="821" spans="1:35" x14ac:dyDescent="0.35">
      <c r="A821" t="s">
        <v>2999</v>
      </c>
      <c r="B821" t="s">
        <v>3000</v>
      </c>
      <c r="C821" t="s">
        <v>3001</v>
      </c>
      <c r="D821" s="1">
        <v>44578</v>
      </c>
      <c r="E821" s="1" t="str">
        <f t="shared" si="84"/>
        <v>17</v>
      </c>
      <c r="F821" s="1" t="str">
        <f t="shared" si="85"/>
        <v>Jan</v>
      </c>
      <c r="G821" s="6" t="s">
        <v>23</v>
      </c>
      <c r="H821" s="5">
        <v>7648.58</v>
      </c>
      <c r="I821" s="5" t="str">
        <f>IF(fin_table[[#This Row],[Account Balance]]&lt;20000,"Active", "Not Active")</f>
        <v>Not Active</v>
      </c>
      <c r="J821" s="5">
        <v>22118.21</v>
      </c>
      <c r="K821" s="5" t="str">
        <f t="shared" si="86"/>
        <v>Medium</v>
      </c>
      <c r="L821" s="6" t="s">
        <v>100</v>
      </c>
      <c r="M821">
        <v>68</v>
      </c>
      <c r="N821" s="6" t="str">
        <f t="shared" si="87"/>
        <v>Seniors</v>
      </c>
      <c r="O821" s="6" t="s">
        <v>42</v>
      </c>
      <c r="P821" s="6" t="s">
        <v>26</v>
      </c>
      <c r="Q821" t="s">
        <v>1512</v>
      </c>
      <c r="R821" s="6" t="s">
        <v>38</v>
      </c>
      <c r="S821" s="6" t="s">
        <v>44</v>
      </c>
      <c r="T821" s="14">
        <v>3.8100000000000002E-2</v>
      </c>
      <c r="U821">
        <v>3.81</v>
      </c>
      <c r="V821" t="str">
        <f>IF(fin_table[[#This Row],[Interest Rate(%)]]&gt;4,"high","low")</f>
        <v>low</v>
      </c>
      <c r="W821" s="5">
        <v>26681.654999999999</v>
      </c>
      <c r="X821" s="5">
        <f>fin_table[[#This Row],[Interest Rate]]*fin_table[[#This Row],[Loan Amount]]</f>
        <v>1016.5710555000001</v>
      </c>
      <c r="Y821">
        <v>18</v>
      </c>
      <c r="Z821" s="3">
        <v>759</v>
      </c>
      <c r="AA821" s="3" t="str">
        <f t="shared" si="88"/>
        <v>Very Good</v>
      </c>
      <c r="AB821" s="3" cm="1">
        <f t="array" ref="AB821">_xlfn.IFS(fin_table[[#This Row],[Transaction Status]]="Failed", 1, fin_table[[#This Row],[Transaction Status]]="Completed",0,fin_table[[#This Row],[Transaction Status]]="Pending",2)</f>
        <v>0</v>
      </c>
      <c r="AC821" s="3" t="str">
        <f>IF(fin_table[[#This Row],[Loan Defaulters]]=1,"Default", "Good")</f>
        <v>Good</v>
      </c>
      <c r="AD821" s="3">
        <f t="shared" si="89"/>
        <v>4</v>
      </c>
      <c r="AE821" s="4">
        <v>4250.63</v>
      </c>
      <c r="AF821" s="4" t="str">
        <f>IF(fin_table[[#This Row],[Monthly Income]]&lt;3000, "Low Income", IF(fin_table[[#This Row],[Monthly Income]]&lt;=5000, "Middle Income", "High Income"))</f>
        <v>Middle Income</v>
      </c>
      <c r="AG821" t="s">
        <v>63</v>
      </c>
      <c r="AH821" t="s">
        <v>3635</v>
      </c>
      <c r="AI821" t="str">
        <f t="shared" si="90"/>
        <v>Low-Risk</v>
      </c>
    </row>
    <row r="822" spans="1:35" x14ac:dyDescent="0.35">
      <c r="A822" t="s">
        <v>3002</v>
      </c>
      <c r="B822" t="s">
        <v>3003</v>
      </c>
      <c r="C822" t="s">
        <v>3004</v>
      </c>
      <c r="D822" s="1">
        <v>45113</v>
      </c>
      <c r="E822" s="1" t="str">
        <f t="shared" si="84"/>
        <v>06</v>
      </c>
      <c r="F822" s="1" t="str">
        <f t="shared" si="85"/>
        <v>Jul</v>
      </c>
      <c r="G822" s="6" t="s">
        <v>56</v>
      </c>
      <c r="H822" s="5">
        <v>5470.46</v>
      </c>
      <c r="I822" s="5" t="str">
        <f>IF(fin_table[[#This Row],[Account Balance]]&lt;20000,"Active", "Not Active")</f>
        <v>Active</v>
      </c>
      <c r="J822" s="5">
        <v>15920.13</v>
      </c>
      <c r="K822" s="5" t="str">
        <f t="shared" si="86"/>
        <v>Medium</v>
      </c>
      <c r="L822" s="6" t="s">
        <v>100</v>
      </c>
      <c r="M822">
        <v>56</v>
      </c>
      <c r="N822" s="6" t="str">
        <f t="shared" si="87"/>
        <v>Older Adults</v>
      </c>
      <c r="O822" s="6" t="s">
        <v>25</v>
      </c>
      <c r="P822" s="6" t="s">
        <v>50</v>
      </c>
      <c r="Q822" t="s">
        <v>3005</v>
      </c>
      <c r="R822" s="6" t="s">
        <v>52</v>
      </c>
      <c r="S822" s="6" t="s">
        <v>62</v>
      </c>
      <c r="T822" s="14">
        <v>1.21E-2</v>
      </c>
      <c r="U822">
        <v>1.21</v>
      </c>
      <c r="V822" t="str">
        <f>IF(fin_table[[#This Row],[Interest Rate(%)]]&gt;4,"high","low")</f>
        <v>low</v>
      </c>
      <c r="W822" s="5">
        <v>26681.654999999999</v>
      </c>
      <c r="X822" s="5">
        <f>fin_table[[#This Row],[Interest Rate]]*fin_table[[#This Row],[Loan Amount]]</f>
        <v>322.84802549999995</v>
      </c>
      <c r="Y822">
        <v>13</v>
      </c>
      <c r="Z822" s="3">
        <v>401</v>
      </c>
      <c r="AA822" s="3" t="str">
        <f t="shared" si="88"/>
        <v>Poor</v>
      </c>
      <c r="AB822" s="3" cm="1">
        <f t="array" ref="AB822">_xlfn.IFS(fin_table[[#This Row],[Transaction Status]]="Failed", 1, fin_table[[#This Row],[Transaction Status]]="Completed",0,fin_table[[#This Row],[Transaction Status]]="Pending",2)</f>
        <v>2</v>
      </c>
      <c r="AC822" s="3" t="str">
        <f>IF(fin_table[[#This Row],[Loan Defaulters]]=1,"Default", "Good")</f>
        <v>Good</v>
      </c>
      <c r="AD822" s="3">
        <f t="shared" si="89"/>
        <v>1</v>
      </c>
      <c r="AE822" s="4">
        <v>2621.54</v>
      </c>
      <c r="AF822" s="4" t="str">
        <f>IF(fin_table[[#This Row],[Monthly Income]]&lt;3000, "Low Income", IF(fin_table[[#This Row],[Monthly Income]]&lt;=5000, "Middle Income", "High Income"))</f>
        <v>Low Income</v>
      </c>
      <c r="AG822" t="s">
        <v>45</v>
      </c>
      <c r="AH822" t="s">
        <v>3635</v>
      </c>
      <c r="AI822" t="str">
        <f t="shared" si="90"/>
        <v>Low-Risk</v>
      </c>
    </row>
    <row r="823" spans="1:35" x14ac:dyDescent="0.35">
      <c r="A823" t="s">
        <v>3006</v>
      </c>
      <c r="B823" t="s">
        <v>2516</v>
      </c>
      <c r="C823" t="s">
        <v>3007</v>
      </c>
      <c r="D823" s="1">
        <v>44902</v>
      </c>
      <c r="E823" s="1" t="str">
        <f t="shared" si="84"/>
        <v>07</v>
      </c>
      <c r="F823" s="1" t="str">
        <f t="shared" si="85"/>
        <v>Dec</v>
      </c>
      <c r="G823" s="6" t="s">
        <v>23</v>
      </c>
      <c r="H823" s="5">
        <v>1581.05</v>
      </c>
      <c r="I823" s="5" t="str">
        <f>IF(fin_table[[#This Row],[Account Balance]]&lt;20000,"Active", "Not Active")</f>
        <v>Active</v>
      </c>
      <c r="J823" s="5">
        <v>10706.68</v>
      </c>
      <c r="K823" s="5" t="str">
        <f t="shared" si="86"/>
        <v>Medium</v>
      </c>
      <c r="L823" s="6" t="s">
        <v>100</v>
      </c>
      <c r="M823">
        <v>51</v>
      </c>
      <c r="N823" s="6" t="str">
        <f t="shared" si="87"/>
        <v>Older Adults</v>
      </c>
      <c r="O823" s="6" t="s">
        <v>25</v>
      </c>
      <c r="P823" s="6" t="s">
        <v>36</v>
      </c>
      <c r="Q823" t="s">
        <v>3008</v>
      </c>
      <c r="R823" s="6" t="s">
        <v>52</v>
      </c>
      <c r="S823" s="6" t="s">
        <v>44</v>
      </c>
      <c r="T823" s="14">
        <v>1.24E-2</v>
      </c>
      <c r="U823">
        <v>1.24</v>
      </c>
      <c r="V823" t="str">
        <f>IF(fin_table[[#This Row],[Interest Rate(%)]]&gt;4,"high","low")</f>
        <v>low</v>
      </c>
      <c r="W823" s="5">
        <v>18226.52</v>
      </c>
      <c r="X823" s="5">
        <f>fin_table[[#This Row],[Interest Rate]]*fin_table[[#This Row],[Loan Amount]]</f>
        <v>226.008848</v>
      </c>
      <c r="Y823">
        <v>13</v>
      </c>
      <c r="Z823" s="3">
        <v>314</v>
      </c>
      <c r="AA823" s="3" t="str">
        <f t="shared" si="88"/>
        <v>Poor</v>
      </c>
      <c r="AB823" s="3" cm="1">
        <f t="array" ref="AB823">_xlfn.IFS(fin_table[[#This Row],[Transaction Status]]="Failed", 1, fin_table[[#This Row],[Transaction Status]]="Completed",0,fin_table[[#This Row],[Transaction Status]]="Pending",2)</f>
        <v>0</v>
      </c>
      <c r="AC823" s="3" t="str">
        <f>IF(fin_table[[#This Row],[Loan Defaulters]]=1,"Default", "Good")</f>
        <v>Good</v>
      </c>
      <c r="AD823" s="3">
        <f t="shared" si="89"/>
        <v>1</v>
      </c>
      <c r="AE823" s="4">
        <v>5203.9799999999996</v>
      </c>
      <c r="AF823" s="4" t="str">
        <f>IF(fin_table[[#This Row],[Monthly Income]]&lt;3000, "Low Income", IF(fin_table[[#This Row],[Monthly Income]]&lt;=5000, "Middle Income", "High Income"))</f>
        <v>High Income</v>
      </c>
      <c r="AG823" t="s">
        <v>63</v>
      </c>
      <c r="AH823" t="s">
        <v>3636</v>
      </c>
      <c r="AI823" t="str">
        <f t="shared" si="90"/>
        <v>Low-Risk</v>
      </c>
    </row>
    <row r="824" spans="1:35" x14ac:dyDescent="0.35">
      <c r="A824" t="s">
        <v>3009</v>
      </c>
      <c r="B824" t="s">
        <v>3010</v>
      </c>
      <c r="C824" t="s">
        <v>3011</v>
      </c>
      <c r="D824" s="1">
        <v>44998</v>
      </c>
      <c r="E824" s="1" t="str">
        <f t="shared" si="84"/>
        <v>13</v>
      </c>
      <c r="F824" s="1" t="str">
        <f t="shared" si="85"/>
        <v>Mar</v>
      </c>
      <c r="G824" s="6" t="s">
        <v>23</v>
      </c>
      <c r="H824" s="5">
        <v>3868.83</v>
      </c>
      <c r="I824" s="5" t="str">
        <f>IF(fin_table[[#This Row],[Account Balance]]&lt;20000,"Active", "Not Active")</f>
        <v>Active</v>
      </c>
      <c r="J824" s="5">
        <v>4218.91</v>
      </c>
      <c r="K824" s="5" t="str">
        <f t="shared" si="86"/>
        <v>Low</v>
      </c>
      <c r="L824" s="6" t="s">
        <v>125</v>
      </c>
      <c r="M824">
        <v>23</v>
      </c>
      <c r="N824" s="6" t="str">
        <f t="shared" si="87"/>
        <v>Young Adults</v>
      </c>
      <c r="O824" s="6" t="s">
        <v>42</v>
      </c>
      <c r="P824" s="6" t="s">
        <v>50</v>
      </c>
      <c r="Q824" t="s">
        <v>3012</v>
      </c>
      <c r="R824" s="6" t="s">
        <v>38</v>
      </c>
      <c r="S824" s="6" t="s">
        <v>29</v>
      </c>
      <c r="T824" s="14">
        <v>2.2200000000000001E-2</v>
      </c>
      <c r="U824">
        <v>2.2200000000000002</v>
      </c>
      <c r="V824" t="str">
        <f>IF(fin_table[[#This Row],[Interest Rate(%)]]&gt;4,"high","low")</f>
        <v>low</v>
      </c>
      <c r="W824" s="5">
        <v>26681.654999999999</v>
      </c>
      <c r="X824" s="5">
        <f>fin_table[[#This Row],[Interest Rate]]*fin_table[[#This Row],[Loan Amount]]</f>
        <v>592.33274100000006</v>
      </c>
      <c r="Y824">
        <v>10</v>
      </c>
      <c r="Z824" s="3">
        <v>350</v>
      </c>
      <c r="AA824" s="3" t="str">
        <f t="shared" si="88"/>
        <v>Poor</v>
      </c>
      <c r="AB824" s="3" cm="1">
        <f t="array" ref="AB824">_xlfn.IFS(fin_table[[#This Row],[Transaction Status]]="Failed", 1, fin_table[[#This Row],[Transaction Status]]="Completed",0,fin_table[[#This Row],[Transaction Status]]="Pending",2)</f>
        <v>1</v>
      </c>
      <c r="AC824" s="3" t="str">
        <f>IF(fin_table[[#This Row],[Loan Defaulters]]=1,"Default", "Good")</f>
        <v>Default</v>
      </c>
      <c r="AD824" s="3">
        <f t="shared" si="89"/>
        <v>1</v>
      </c>
      <c r="AE824" s="4">
        <v>3861.57</v>
      </c>
      <c r="AF824" s="4" t="str">
        <f>IF(fin_table[[#This Row],[Monthly Income]]&lt;3000, "Low Income", IF(fin_table[[#This Row],[Monthly Income]]&lt;=5000, "Middle Income", "High Income"))</f>
        <v>Middle Income</v>
      </c>
      <c r="AG824" t="s">
        <v>30</v>
      </c>
      <c r="AH824" t="s">
        <v>3635</v>
      </c>
      <c r="AI824" t="str">
        <f t="shared" si="90"/>
        <v>Low-Risk</v>
      </c>
    </row>
    <row r="825" spans="1:35" x14ac:dyDescent="0.35">
      <c r="A825" t="s">
        <v>3013</v>
      </c>
      <c r="B825" t="s">
        <v>3014</v>
      </c>
      <c r="C825" t="s">
        <v>3015</v>
      </c>
      <c r="D825" s="1">
        <v>44862</v>
      </c>
      <c r="E825" s="1" t="str">
        <f t="shared" si="84"/>
        <v>28</v>
      </c>
      <c r="F825" s="1" t="str">
        <f t="shared" si="85"/>
        <v>Oct</v>
      </c>
      <c r="G825" s="6" t="s">
        <v>56</v>
      </c>
      <c r="H825" s="5">
        <v>4203.25</v>
      </c>
      <c r="I825" s="5" t="str">
        <f>IF(fin_table[[#This Row],[Account Balance]]&lt;20000,"Active", "Not Active")</f>
        <v>Not Active</v>
      </c>
      <c r="J825" s="5">
        <v>44468.85</v>
      </c>
      <c r="K825" s="5" t="str">
        <f t="shared" si="86"/>
        <v>Medium</v>
      </c>
      <c r="L825" s="6" t="s">
        <v>100</v>
      </c>
      <c r="M825">
        <v>67</v>
      </c>
      <c r="N825" s="6" t="str">
        <f t="shared" si="87"/>
        <v>Seniors</v>
      </c>
      <c r="O825" s="6" t="s">
        <v>42</v>
      </c>
      <c r="P825" s="6" t="s">
        <v>50</v>
      </c>
      <c r="Q825" t="s">
        <v>3016</v>
      </c>
      <c r="R825" s="6" t="s">
        <v>28</v>
      </c>
      <c r="S825" s="6" t="s">
        <v>44</v>
      </c>
      <c r="T825" s="14">
        <v>4.5900000000000003E-2</v>
      </c>
      <c r="U825">
        <v>4.59</v>
      </c>
      <c r="V825" t="str">
        <f>IF(fin_table[[#This Row],[Interest Rate(%)]]&gt;4,"high","low")</f>
        <v>high</v>
      </c>
      <c r="W825" s="5">
        <v>26681.654999999999</v>
      </c>
      <c r="X825" s="5">
        <f>fin_table[[#This Row],[Interest Rate]]*fin_table[[#This Row],[Loan Amount]]</f>
        <v>1224.6879645000001</v>
      </c>
      <c r="Y825">
        <v>13</v>
      </c>
      <c r="Z825" s="3">
        <v>608</v>
      </c>
      <c r="AA825" s="3" t="str">
        <f t="shared" si="88"/>
        <v>Fair</v>
      </c>
      <c r="AB825" s="3" cm="1">
        <f t="array" ref="AB825">_xlfn.IFS(fin_table[[#This Row],[Transaction Status]]="Failed", 1, fin_table[[#This Row],[Transaction Status]]="Completed",0,fin_table[[#This Row],[Transaction Status]]="Pending",2)</f>
        <v>0</v>
      </c>
      <c r="AC825" s="3" t="str">
        <f>IF(fin_table[[#This Row],[Loan Defaulters]]=1,"Default", "Good")</f>
        <v>Good</v>
      </c>
      <c r="AD825" s="3">
        <f t="shared" si="89"/>
        <v>2</v>
      </c>
      <c r="AE825" s="4">
        <v>9253.33</v>
      </c>
      <c r="AF825" s="4" t="str">
        <f>IF(fin_table[[#This Row],[Monthly Income]]&lt;3000, "Low Income", IF(fin_table[[#This Row],[Monthly Income]]&lt;=5000, "Middle Income", "High Income"))</f>
        <v>High Income</v>
      </c>
      <c r="AG825" t="s">
        <v>45</v>
      </c>
      <c r="AH825" t="s">
        <v>3635</v>
      </c>
      <c r="AI825" t="str">
        <f t="shared" si="90"/>
        <v>Low-Risk</v>
      </c>
    </row>
    <row r="826" spans="1:35" x14ac:dyDescent="0.35">
      <c r="A826" t="s">
        <v>3017</v>
      </c>
      <c r="B826" t="s">
        <v>3018</v>
      </c>
      <c r="C826" t="s">
        <v>3019</v>
      </c>
      <c r="D826" s="1">
        <v>44639</v>
      </c>
      <c r="E826" s="1" t="str">
        <f t="shared" si="84"/>
        <v>19</v>
      </c>
      <c r="F826" s="1" t="str">
        <f t="shared" si="85"/>
        <v>Mar</v>
      </c>
      <c r="G826" s="6" t="s">
        <v>23</v>
      </c>
      <c r="H826" s="5">
        <v>7562.91</v>
      </c>
      <c r="I826" s="5" t="str">
        <f>IF(fin_table[[#This Row],[Account Balance]]&lt;20000,"Active", "Not Active")</f>
        <v>Not Active</v>
      </c>
      <c r="J826" s="5">
        <v>21572.59</v>
      </c>
      <c r="K826" s="5" t="str">
        <f t="shared" si="86"/>
        <v>Medium</v>
      </c>
      <c r="L826" s="6" t="s">
        <v>24</v>
      </c>
      <c r="M826">
        <v>55</v>
      </c>
      <c r="N826" s="6" t="str">
        <f t="shared" si="87"/>
        <v>Older Adults</v>
      </c>
      <c r="O826" s="6" t="s">
        <v>25</v>
      </c>
      <c r="P826" s="6" t="s">
        <v>50</v>
      </c>
      <c r="Q826" t="s">
        <v>773</v>
      </c>
      <c r="R826" s="6" t="s">
        <v>28</v>
      </c>
      <c r="S826" s="6" t="s">
        <v>62</v>
      </c>
      <c r="T826" s="14">
        <v>3.5700000000000003E-2</v>
      </c>
      <c r="U826">
        <v>3.57</v>
      </c>
      <c r="V826" t="str">
        <f>IF(fin_table[[#This Row],[Interest Rate(%)]]&gt;4,"high","low")</f>
        <v>low</v>
      </c>
      <c r="W826" s="5">
        <v>29102.67</v>
      </c>
      <c r="X826" s="5">
        <f>fin_table[[#This Row],[Interest Rate]]*fin_table[[#This Row],[Loan Amount]]</f>
        <v>1038.9653189999999</v>
      </c>
      <c r="Y826">
        <v>9</v>
      </c>
      <c r="Z826" s="3">
        <v>333</v>
      </c>
      <c r="AA826" s="3" t="str">
        <f t="shared" si="88"/>
        <v>Poor</v>
      </c>
      <c r="AB826" s="3" cm="1">
        <f t="array" ref="AB826">_xlfn.IFS(fin_table[[#This Row],[Transaction Status]]="Failed", 1, fin_table[[#This Row],[Transaction Status]]="Completed",0,fin_table[[#This Row],[Transaction Status]]="Pending",2)</f>
        <v>2</v>
      </c>
      <c r="AC826" s="3" t="str">
        <f>IF(fin_table[[#This Row],[Loan Defaulters]]=1,"Default", "Good")</f>
        <v>Good</v>
      </c>
      <c r="AD826" s="3">
        <f t="shared" si="89"/>
        <v>1</v>
      </c>
      <c r="AE826" s="4">
        <v>4404.29</v>
      </c>
      <c r="AF826" s="4" t="str">
        <f>IF(fin_table[[#This Row],[Monthly Income]]&lt;3000, "Low Income", IF(fin_table[[#This Row],[Monthly Income]]&lt;=5000, "Middle Income", "High Income"))</f>
        <v>Middle Income</v>
      </c>
      <c r="AG826" t="s">
        <v>63</v>
      </c>
      <c r="AH826" t="s">
        <v>3636</v>
      </c>
      <c r="AI826" t="str">
        <f t="shared" si="90"/>
        <v>Low-Risk</v>
      </c>
    </row>
    <row r="827" spans="1:35" x14ac:dyDescent="0.35">
      <c r="A827" t="s">
        <v>3020</v>
      </c>
      <c r="B827" t="s">
        <v>3021</v>
      </c>
      <c r="C827" t="s">
        <v>3022</v>
      </c>
      <c r="D827" s="1">
        <v>44700</v>
      </c>
      <c r="E827" s="1" t="str">
        <f t="shared" si="84"/>
        <v>19</v>
      </c>
      <c r="F827" s="1" t="str">
        <f t="shared" si="85"/>
        <v>May</v>
      </c>
      <c r="G827" s="6" t="s">
        <v>56</v>
      </c>
      <c r="H827" s="5">
        <v>304.64999999999998</v>
      </c>
      <c r="I827" s="5" t="str">
        <f>IF(fin_table[[#This Row],[Account Balance]]&lt;20000,"Active", "Not Active")</f>
        <v>Not Active</v>
      </c>
      <c r="J827" s="5">
        <v>25347.88</v>
      </c>
      <c r="K827" s="5" t="str">
        <f t="shared" si="86"/>
        <v>Medium</v>
      </c>
      <c r="L827" s="6" t="s">
        <v>125</v>
      </c>
      <c r="M827">
        <v>62</v>
      </c>
      <c r="N827" s="6" t="str">
        <f t="shared" si="87"/>
        <v>Seniors</v>
      </c>
      <c r="O827" s="6" t="s">
        <v>25</v>
      </c>
      <c r="P827" s="6" t="s">
        <v>26</v>
      </c>
      <c r="Q827" t="s">
        <v>2953</v>
      </c>
      <c r="R827" s="6" t="s">
        <v>38</v>
      </c>
      <c r="S827" s="6" t="s">
        <v>62</v>
      </c>
      <c r="T827" s="14">
        <v>4.0800000000000003E-2</v>
      </c>
      <c r="U827">
        <v>4.08</v>
      </c>
      <c r="V827" t="str">
        <f>IF(fin_table[[#This Row],[Interest Rate(%)]]&gt;4,"high","low")</f>
        <v>high</v>
      </c>
      <c r="W827" s="5">
        <v>7709.92</v>
      </c>
      <c r="X827" s="5">
        <f>fin_table[[#This Row],[Interest Rate]]*fin_table[[#This Row],[Loan Amount]]</f>
        <v>314.56473600000004</v>
      </c>
      <c r="Y827">
        <v>13</v>
      </c>
      <c r="Z827" s="3">
        <v>504</v>
      </c>
      <c r="AA827" s="3" t="str">
        <f t="shared" si="88"/>
        <v>Poor</v>
      </c>
      <c r="AB827" s="3" cm="1">
        <f t="array" ref="AB827">_xlfn.IFS(fin_table[[#This Row],[Transaction Status]]="Failed", 1, fin_table[[#This Row],[Transaction Status]]="Completed",0,fin_table[[#This Row],[Transaction Status]]="Pending",2)</f>
        <v>2</v>
      </c>
      <c r="AC827" s="3" t="str">
        <f>IF(fin_table[[#This Row],[Loan Defaulters]]=1,"Default", "Good")</f>
        <v>Good</v>
      </c>
      <c r="AD827" s="3">
        <f t="shared" si="89"/>
        <v>1</v>
      </c>
      <c r="AE827" s="4">
        <v>2506.14</v>
      </c>
      <c r="AF827" s="4" t="str">
        <f>IF(fin_table[[#This Row],[Monthly Income]]&lt;3000, "Low Income", IF(fin_table[[#This Row],[Monthly Income]]&lt;=5000, "Middle Income", "High Income"))</f>
        <v>Low Income</v>
      </c>
      <c r="AG827" t="s">
        <v>63</v>
      </c>
      <c r="AH827" t="s">
        <v>3636</v>
      </c>
      <c r="AI827" t="str">
        <f t="shared" si="90"/>
        <v>Low-Risk</v>
      </c>
    </row>
    <row r="828" spans="1:35" x14ac:dyDescent="0.35">
      <c r="A828" t="s">
        <v>3023</v>
      </c>
      <c r="B828" t="s">
        <v>3024</v>
      </c>
      <c r="C828" t="s">
        <v>3025</v>
      </c>
      <c r="D828" s="1">
        <v>44796</v>
      </c>
      <c r="E828" s="1" t="str">
        <f t="shared" si="84"/>
        <v>23</v>
      </c>
      <c r="F828" s="1" t="str">
        <f t="shared" si="85"/>
        <v>Aug</v>
      </c>
      <c r="G828" s="6" t="s">
        <v>71</v>
      </c>
      <c r="H828" s="5">
        <v>2763.29</v>
      </c>
      <c r="I828" s="5" t="str">
        <f>IF(fin_table[[#This Row],[Account Balance]]&lt;20000,"Active", "Not Active")</f>
        <v>Not Active</v>
      </c>
      <c r="J828" s="5">
        <v>45930.16</v>
      </c>
      <c r="K828" s="5" t="str">
        <f t="shared" si="86"/>
        <v>Medium</v>
      </c>
      <c r="L828" s="6" t="s">
        <v>35</v>
      </c>
      <c r="M828">
        <v>68</v>
      </c>
      <c r="N828" s="6" t="str">
        <f t="shared" si="87"/>
        <v>Seniors</v>
      </c>
      <c r="O828" s="6" t="s">
        <v>42</v>
      </c>
      <c r="P828" s="6" t="s">
        <v>50</v>
      </c>
      <c r="Q828" t="s">
        <v>3026</v>
      </c>
      <c r="R828" s="6" t="s">
        <v>38</v>
      </c>
      <c r="S828" s="6" t="s">
        <v>62</v>
      </c>
      <c r="T828" s="14">
        <v>1.5699999999999999E-2</v>
      </c>
      <c r="U828">
        <v>1.57</v>
      </c>
      <c r="V828" t="str">
        <f>IF(fin_table[[#This Row],[Interest Rate(%)]]&gt;4,"high","low")</f>
        <v>low</v>
      </c>
      <c r="W828" s="5">
        <v>8667.0499999999993</v>
      </c>
      <c r="X828" s="5">
        <f>fin_table[[#This Row],[Interest Rate]]*fin_table[[#This Row],[Loan Amount]]</f>
        <v>136.07268499999998</v>
      </c>
      <c r="Y828">
        <v>13</v>
      </c>
      <c r="Z828" s="3">
        <v>369</v>
      </c>
      <c r="AA828" s="3" t="str">
        <f t="shared" si="88"/>
        <v>Poor</v>
      </c>
      <c r="AB828" s="3" cm="1">
        <f t="array" ref="AB828">_xlfn.IFS(fin_table[[#This Row],[Transaction Status]]="Failed", 1, fin_table[[#This Row],[Transaction Status]]="Completed",0,fin_table[[#This Row],[Transaction Status]]="Pending",2)</f>
        <v>2</v>
      </c>
      <c r="AC828" s="3" t="str">
        <f>IF(fin_table[[#This Row],[Loan Defaulters]]=1,"Default", "Good")</f>
        <v>Good</v>
      </c>
      <c r="AD828" s="3">
        <f t="shared" si="89"/>
        <v>1</v>
      </c>
      <c r="AE828" s="4">
        <v>2467.87</v>
      </c>
      <c r="AF828" s="4" t="str">
        <f>IF(fin_table[[#This Row],[Monthly Income]]&lt;3000, "Low Income", IF(fin_table[[#This Row],[Monthly Income]]&lt;=5000, "Middle Income", "High Income"))</f>
        <v>Low Income</v>
      </c>
      <c r="AG828" t="s">
        <v>30</v>
      </c>
      <c r="AH828" t="s">
        <v>3636</v>
      </c>
      <c r="AI828" t="str">
        <f t="shared" si="90"/>
        <v>Low-Risk</v>
      </c>
    </row>
    <row r="829" spans="1:35" x14ac:dyDescent="0.35">
      <c r="A829" t="s">
        <v>3027</v>
      </c>
      <c r="B829" t="s">
        <v>3028</v>
      </c>
      <c r="C829" t="s">
        <v>3029</v>
      </c>
      <c r="D829" s="1">
        <v>44609</v>
      </c>
      <c r="E829" s="1" t="str">
        <f t="shared" si="84"/>
        <v>17</v>
      </c>
      <c r="F829" s="1" t="str">
        <f t="shared" si="85"/>
        <v>Feb</v>
      </c>
      <c r="G829" s="6" t="s">
        <v>34</v>
      </c>
      <c r="H829" s="5">
        <v>5224.2</v>
      </c>
      <c r="I829" s="5" t="str">
        <f>IF(fin_table[[#This Row],[Account Balance]]&lt;20000,"Active", "Not Active")</f>
        <v>Not Active</v>
      </c>
      <c r="J829" s="5">
        <v>39038.230000000003</v>
      </c>
      <c r="K829" s="5" t="str">
        <f t="shared" si="86"/>
        <v>Medium</v>
      </c>
      <c r="L829" s="6" t="s">
        <v>125</v>
      </c>
      <c r="M829">
        <v>51</v>
      </c>
      <c r="N829" s="6" t="str">
        <f t="shared" si="87"/>
        <v>Older Adults</v>
      </c>
      <c r="O829" s="6" t="s">
        <v>42</v>
      </c>
      <c r="P829" s="6" t="s">
        <v>36</v>
      </c>
      <c r="Q829" t="s">
        <v>1341</v>
      </c>
      <c r="R829" s="6" t="s">
        <v>28</v>
      </c>
      <c r="S829" s="6" t="s">
        <v>44</v>
      </c>
      <c r="T829" s="14">
        <v>4.3400000000000001E-2</v>
      </c>
      <c r="U829">
        <v>4.34</v>
      </c>
      <c r="V829" t="str">
        <f>IF(fin_table[[#This Row],[Interest Rate(%)]]&gt;4,"high","low")</f>
        <v>high</v>
      </c>
      <c r="W829" s="5">
        <v>33935.58</v>
      </c>
      <c r="X829" s="5">
        <f>fin_table[[#This Row],[Interest Rate]]*fin_table[[#This Row],[Loan Amount]]</f>
        <v>1472.8041720000001</v>
      </c>
      <c r="Y829">
        <v>13</v>
      </c>
      <c r="Z829" s="3">
        <v>529</v>
      </c>
      <c r="AA829" s="3" t="str">
        <f t="shared" si="88"/>
        <v>Poor</v>
      </c>
      <c r="AB829" s="3" cm="1">
        <f t="array" ref="AB829">_xlfn.IFS(fin_table[[#This Row],[Transaction Status]]="Failed", 1, fin_table[[#This Row],[Transaction Status]]="Completed",0,fin_table[[#This Row],[Transaction Status]]="Pending",2)</f>
        <v>0</v>
      </c>
      <c r="AC829" s="3" t="str">
        <f>IF(fin_table[[#This Row],[Loan Defaulters]]=1,"Default", "Good")</f>
        <v>Good</v>
      </c>
      <c r="AD829" s="3">
        <f t="shared" si="89"/>
        <v>1</v>
      </c>
      <c r="AE829" s="4">
        <v>12810.4</v>
      </c>
      <c r="AF829" s="4" t="str">
        <f>IF(fin_table[[#This Row],[Monthly Income]]&lt;3000, "Low Income", IF(fin_table[[#This Row],[Monthly Income]]&lt;=5000, "Middle Income", "High Income"))</f>
        <v>High Income</v>
      </c>
      <c r="AG829" t="s">
        <v>45</v>
      </c>
      <c r="AH829" t="s">
        <v>3636</v>
      </c>
      <c r="AI829" t="str">
        <f t="shared" si="90"/>
        <v>High-Risk</v>
      </c>
    </row>
    <row r="830" spans="1:35" x14ac:dyDescent="0.35">
      <c r="A830" t="s">
        <v>3030</v>
      </c>
      <c r="B830" t="s">
        <v>3031</v>
      </c>
      <c r="C830" t="s">
        <v>3032</v>
      </c>
      <c r="D830" s="1">
        <v>45118</v>
      </c>
      <c r="E830" s="1" t="str">
        <f t="shared" si="84"/>
        <v>11</v>
      </c>
      <c r="F830" s="1" t="str">
        <f t="shared" si="85"/>
        <v>Jul</v>
      </c>
      <c r="G830" s="6" t="s">
        <v>34</v>
      </c>
      <c r="H830" s="5">
        <v>2761.58</v>
      </c>
      <c r="I830" s="5" t="str">
        <f>IF(fin_table[[#This Row],[Account Balance]]&lt;20000,"Active", "Not Active")</f>
        <v>Active</v>
      </c>
      <c r="J830" s="5">
        <v>7394.56</v>
      </c>
      <c r="K830" s="5" t="str">
        <f t="shared" si="86"/>
        <v>Low</v>
      </c>
      <c r="L830" s="6" t="s">
        <v>24</v>
      </c>
      <c r="M830">
        <v>61</v>
      </c>
      <c r="N830" s="6" t="str">
        <f t="shared" si="87"/>
        <v>Seniors</v>
      </c>
      <c r="O830" s="6" t="s">
        <v>42</v>
      </c>
      <c r="P830" s="6" t="s">
        <v>50</v>
      </c>
      <c r="Q830" t="s">
        <v>288</v>
      </c>
      <c r="R830" s="6" t="s">
        <v>52</v>
      </c>
      <c r="S830" s="6" t="s">
        <v>62</v>
      </c>
      <c r="T830" s="14">
        <v>1.03E-2</v>
      </c>
      <c r="U830">
        <v>1.03</v>
      </c>
      <c r="V830" t="str">
        <f>IF(fin_table[[#This Row],[Interest Rate(%)]]&gt;4,"high","low")</f>
        <v>low</v>
      </c>
      <c r="W830" s="5">
        <v>26681.654999999999</v>
      </c>
      <c r="X830" s="5">
        <f>fin_table[[#This Row],[Interest Rate]]*fin_table[[#This Row],[Loan Amount]]</f>
        <v>274.82104649999997</v>
      </c>
      <c r="Y830">
        <v>13</v>
      </c>
      <c r="Z830" s="3">
        <v>779</v>
      </c>
      <c r="AA830" s="3" t="str">
        <f t="shared" si="88"/>
        <v>Very Good</v>
      </c>
      <c r="AB830" s="3" cm="1">
        <f t="array" ref="AB830">_xlfn.IFS(fin_table[[#This Row],[Transaction Status]]="Failed", 1, fin_table[[#This Row],[Transaction Status]]="Completed",0,fin_table[[#This Row],[Transaction Status]]="Pending",2)</f>
        <v>2</v>
      </c>
      <c r="AC830" s="3" t="str">
        <f>IF(fin_table[[#This Row],[Loan Defaulters]]=1,"Default", "Good")</f>
        <v>Good</v>
      </c>
      <c r="AD830" s="3">
        <f t="shared" si="89"/>
        <v>4</v>
      </c>
      <c r="AE830" s="4">
        <v>9688.85</v>
      </c>
      <c r="AF830" s="4" t="str">
        <f>IF(fin_table[[#This Row],[Monthly Income]]&lt;3000, "Low Income", IF(fin_table[[#This Row],[Monthly Income]]&lt;=5000, "Middle Income", "High Income"))</f>
        <v>High Income</v>
      </c>
      <c r="AG830" t="s">
        <v>45</v>
      </c>
      <c r="AH830" t="s">
        <v>3635</v>
      </c>
      <c r="AI830" t="str">
        <f t="shared" si="90"/>
        <v>Low-Risk</v>
      </c>
    </row>
    <row r="831" spans="1:35" x14ac:dyDescent="0.35">
      <c r="A831" t="s">
        <v>3033</v>
      </c>
      <c r="B831" t="s">
        <v>3034</v>
      </c>
      <c r="C831" t="s">
        <v>3035</v>
      </c>
      <c r="D831" s="1">
        <v>44606</v>
      </c>
      <c r="E831" s="1" t="str">
        <f t="shared" si="84"/>
        <v>14</v>
      </c>
      <c r="F831" s="1" t="str">
        <f t="shared" si="85"/>
        <v>Feb</v>
      </c>
      <c r="G831" s="6" t="s">
        <v>23</v>
      </c>
      <c r="H831" s="5">
        <v>6321.5</v>
      </c>
      <c r="I831" s="5" t="str">
        <f>IF(fin_table[[#This Row],[Account Balance]]&lt;20000,"Active", "Not Active")</f>
        <v>Not Active</v>
      </c>
      <c r="J831" s="5">
        <v>28705.58</v>
      </c>
      <c r="K831" s="5" t="str">
        <f t="shared" si="86"/>
        <v>Medium</v>
      </c>
      <c r="L831" s="6" t="s">
        <v>35</v>
      </c>
      <c r="M831">
        <v>32</v>
      </c>
      <c r="N831" s="6" t="str">
        <f t="shared" si="87"/>
        <v>Adults</v>
      </c>
      <c r="O831" s="6" t="s">
        <v>25</v>
      </c>
      <c r="P831" s="6" t="s">
        <v>26</v>
      </c>
      <c r="Q831" t="s">
        <v>1294</v>
      </c>
      <c r="R831" s="6" t="s">
        <v>38</v>
      </c>
      <c r="S831" s="6" t="s">
        <v>44</v>
      </c>
      <c r="T831" s="14">
        <v>1.8499999999999999E-2</v>
      </c>
      <c r="U831">
        <v>1.85</v>
      </c>
      <c r="V831" t="str">
        <f>IF(fin_table[[#This Row],[Interest Rate(%)]]&gt;4,"high","low")</f>
        <v>low</v>
      </c>
      <c r="W831" s="5">
        <v>48693.97</v>
      </c>
      <c r="X831" s="5">
        <f>fin_table[[#This Row],[Interest Rate]]*fin_table[[#This Row],[Loan Amount]]</f>
        <v>900.83844499999998</v>
      </c>
      <c r="Y831">
        <v>13</v>
      </c>
      <c r="Z831" s="3">
        <v>832</v>
      </c>
      <c r="AA831" s="3" t="str">
        <f t="shared" si="88"/>
        <v>Excellent</v>
      </c>
      <c r="AB831" s="3" cm="1">
        <f t="array" ref="AB831">_xlfn.IFS(fin_table[[#This Row],[Transaction Status]]="Failed", 1, fin_table[[#This Row],[Transaction Status]]="Completed",0,fin_table[[#This Row],[Transaction Status]]="Pending",2)</f>
        <v>0</v>
      </c>
      <c r="AC831" s="3" t="str">
        <f>IF(fin_table[[#This Row],[Loan Defaulters]]=1,"Default", "Good")</f>
        <v>Good</v>
      </c>
      <c r="AD831" s="3">
        <f t="shared" si="89"/>
        <v>5</v>
      </c>
      <c r="AE831" s="4">
        <v>6655.11</v>
      </c>
      <c r="AF831" s="4" t="str">
        <f>IF(fin_table[[#This Row],[Monthly Income]]&lt;3000, "Low Income", IF(fin_table[[#This Row],[Monthly Income]]&lt;=5000, "Middle Income", "High Income"))</f>
        <v>High Income</v>
      </c>
      <c r="AG831" t="s">
        <v>45</v>
      </c>
      <c r="AH831" t="s">
        <v>3636</v>
      </c>
      <c r="AI831" t="str">
        <f t="shared" si="90"/>
        <v>Low-Risk</v>
      </c>
    </row>
    <row r="832" spans="1:35" x14ac:dyDescent="0.35">
      <c r="A832" t="s">
        <v>3036</v>
      </c>
      <c r="B832" t="s">
        <v>3037</v>
      </c>
      <c r="C832" t="s">
        <v>3038</v>
      </c>
      <c r="D832" s="1">
        <v>44653</v>
      </c>
      <c r="E832" s="1" t="str">
        <f t="shared" si="84"/>
        <v>02</v>
      </c>
      <c r="F832" s="1" t="str">
        <f t="shared" si="85"/>
        <v>Apr</v>
      </c>
      <c r="G832" s="6" t="s">
        <v>23</v>
      </c>
      <c r="H832" s="5">
        <v>4870.49</v>
      </c>
      <c r="I832" s="5" t="str">
        <f>IF(fin_table[[#This Row],[Account Balance]]&lt;20000,"Active", "Not Active")</f>
        <v>Not Active</v>
      </c>
      <c r="J832" s="5">
        <v>22670.36</v>
      </c>
      <c r="K832" s="5" t="str">
        <f t="shared" si="86"/>
        <v>Medium</v>
      </c>
      <c r="L832" s="6" t="s">
        <v>125</v>
      </c>
      <c r="M832">
        <v>31</v>
      </c>
      <c r="N832" s="6" t="str">
        <f t="shared" si="87"/>
        <v>Adults</v>
      </c>
      <c r="O832" s="6" t="s">
        <v>42</v>
      </c>
      <c r="P832" s="6" t="s">
        <v>36</v>
      </c>
      <c r="Q832" t="s">
        <v>2098</v>
      </c>
      <c r="R832" s="6" t="s">
        <v>52</v>
      </c>
      <c r="S832" s="6" t="s">
        <v>29</v>
      </c>
      <c r="T832" s="14">
        <v>3.4599999999999999E-2</v>
      </c>
      <c r="U832">
        <v>3.46</v>
      </c>
      <c r="V832" t="str">
        <f>IF(fin_table[[#This Row],[Interest Rate(%)]]&gt;4,"high","low")</f>
        <v>low</v>
      </c>
      <c r="W832" s="5">
        <v>26681.654999999999</v>
      </c>
      <c r="X832" s="5">
        <f>fin_table[[#This Row],[Interest Rate]]*fin_table[[#This Row],[Loan Amount]]</f>
        <v>923.18526299999996</v>
      </c>
      <c r="Y832">
        <v>13</v>
      </c>
      <c r="Z832" s="3">
        <v>407</v>
      </c>
      <c r="AA832" s="3" t="str">
        <f t="shared" si="88"/>
        <v>Poor</v>
      </c>
      <c r="AB832" s="3" cm="1">
        <f t="array" ref="AB832">_xlfn.IFS(fin_table[[#This Row],[Transaction Status]]="Failed", 1, fin_table[[#This Row],[Transaction Status]]="Completed",0,fin_table[[#This Row],[Transaction Status]]="Pending",2)</f>
        <v>1</v>
      </c>
      <c r="AC832" s="3" t="str">
        <f>IF(fin_table[[#This Row],[Loan Defaulters]]=1,"Default", "Good")</f>
        <v>Default</v>
      </c>
      <c r="AD832" s="3">
        <f t="shared" si="89"/>
        <v>1</v>
      </c>
      <c r="AE832" s="4">
        <v>13624.96</v>
      </c>
      <c r="AF832" s="4" t="str">
        <f>IF(fin_table[[#This Row],[Monthly Income]]&lt;3000, "Low Income", IF(fin_table[[#This Row],[Monthly Income]]&lt;=5000, "Middle Income", "High Income"))</f>
        <v>High Income</v>
      </c>
      <c r="AG832" t="s">
        <v>30</v>
      </c>
      <c r="AH832" t="s">
        <v>3635</v>
      </c>
      <c r="AI832" t="str">
        <f t="shared" si="90"/>
        <v>Low-Risk</v>
      </c>
    </row>
    <row r="833" spans="1:35" x14ac:dyDescent="0.35">
      <c r="A833" t="s">
        <v>3039</v>
      </c>
      <c r="B833" t="s">
        <v>3040</v>
      </c>
      <c r="C833" t="s">
        <v>3041</v>
      </c>
      <c r="D833" s="1">
        <v>44626</v>
      </c>
      <c r="E833" s="1" t="str">
        <f t="shared" si="84"/>
        <v>06</v>
      </c>
      <c r="F833" s="1" t="str">
        <f t="shared" si="85"/>
        <v>Mar</v>
      </c>
      <c r="G833" s="6" t="s">
        <v>23</v>
      </c>
      <c r="H833" s="5">
        <v>3680.93</v>
      </c>
      <c r="I833" s="5" t="str">
        <f>IF(fin_table[[#This Row],[Account Balance]]&lt;20000,"Active", "Not Active")</f>
        <v>Not Active</v>
      </c>
      <c r="J833" s="5">
        <v>40063.339999999997</v>
      </c>
      <c r="K833" s="5" t="str">
        <f t="shared" si="86"/>
        <v>Medium</v>
      </c>
      <c r="L833" s="6" t="s">
        <v>100</v>
      </c>
      <c r="M833">
        <v>23</v>
      </c>
      <c r="N833" s="6" t="str">
        <f t="shared" si="87"/>
        <v>Young Adults</v>
      </c>
      <c r="O833" s="6" t="s">
        <v>25</v>
      </c>
      <c r="P833" s="6" t="s">
        <v>36</v>
      </c>
      <c r="Q833" t="s">
        <v>113</v>
      </c>
      <c r="R833" s="6" t="s">
        <v>38</v>
      </c>
      <c r="S833" s="6" t="s">
        <v>29</v>
      </c>
      <c r="T833" s="14">
        <v>2.5000000000000001E-2</v>
      </c>
      <c r="U833">
        <v>2.5</v>
      </c>
      <c r="V833" t="str">
        <f>IF(fin_table[[#This Row],[Interest Rate(%)]]&gt;4,"high","low")</f>
        <v>low</v>
      </c>
      <c r="W833" s="5">
        <v>5453.31</v>
      </c>
      <c r="X833" s="5">
        <f>fin_table[[#This Row],[Interest Rate]]*fin_table[[#This Row],[Loan Amount]]</f>
        <v>136.33275</v>
      </c>
      <c r="Y833">
        <v>4</v>
      </c>
      <c r="Z833" s="3">
        <v>540</v>
      </c>
      <c r="AA833" s="3" t="str">
        <f t="shared" si="88"/>
        <v>Poor</v>
      </c>
      <c r="AB833" s="3" cm="1">
        <f t="array" ref="AB833">_xlfn.IFS(fin_table[[#This Row],[Transaction Status]]="Failed", 1, fin_table[[#This Row],[Transaction Status]]="Completed",0,fin_table[[#This Row],[Transaction Status]]="Pending",2)</f>
        <v>1</v>
      </c>
      <c r="AC833" s="3" t="str">
        <f>IF(fin_table[[#This Row],[Loan Defaulters]]=1,"Default", "Good")</f>
        <v>Default</v>
      </c>
      <c r="AD833" s="3">
        <f t="shared" si="89"/>
        <v>1</v>
      </c>
      <c r="AE833" s="4">
        <v>2912.56</v>
      </c>
      <c r="AF833" s="4" t="str">
        <f>IF(fin_table[[#This Row],[Monthly Income]]&lt;3000, "Low Income", IF(fin_table[[#This Row],[Monthly Income]]&lt;=5000, "Middle Income", "High Income"))</f>
        <v>Low Income</v>
      </c>
      <c r="AG833" t="s">
        <v>63</v>
      </c>
      <c r="AH833" t="s">
        <v>3636</v>
      </c>
      <c r="AI833" t="str">
        <f t="shared" si="90"/>
        <v>Low-Risk</v>
      </c>
    </row>
    <row r="834" spans="1:35" x14ac:dyDescent="0.35">
      <c r="A834" t="s">
        <v>3042</v>
      </c>
      <c r="B834" t="s">
        <v>3043</v>
      </c>
      <c r="C834" t="s">
        <v>3044</v>
      </c>
      <c r="D834" s="1">
        <v>45117</v>
      </c>
      <c r="E834" s="1" t="str">
        <f t="shared" ref="E834:E897" si="91">TEXT(D834, "DD")</f>
        <v>10</v>
      </c>
      <c r="F834" s="1" t="str">
        <f t="shared" ref="F834:F897" si="92">TEXT(D834, "MMM")</f>
        <v>Jul</v>
      </c>
      <c r="G834" s="6" t="s">
        <v>34</v>
      </c>
      <c r="H834" s="5">
        <v>9497.17</v>
      </c>
      <c r="I834" s="5" t="str">
        <f>IF(fin_table[[#This Row],[Account Balance]]&lt;20000,"Active", "Not Active")</f>
        <v>Not Active</v>
      </c>
      <c r="J834" s="5">
        <v>36487.39</v>
      </c>
      <c r="K834" s="5" t="str">
        <f t="shared" ref="K834:K897" si="93">IF(J834&lt;10000, "Low", IF(J834&lt;50000, "Medium", "High"))</f>
        <v>Medium</v>
      </c>
      <c r="L834" s="6" t="s">
        <v>49</v>
      </c>
      <c r="M834">
        <v>67</v>
      </c>
      <c r="N834" s="6" t="str">
        <f t="shared" ref="N834:N897" si="94">IF(M834&lt;18, "Teenagers", IF(M834&lt;=25, "Young Adults", IF(M834&lt;=35, "Adults", IF(M834&lt;=45, "Middle-Aged", IF(M834&lt;=60, "Older Adults", "Seniors")))))</f>
        <v>Seniors</v>
      </c>
      <c r="O834" s="6" t="s">
        <v>25</v>
      </c>
      <c r="P834" s="6" t="s">
        <v>36</v>
      </c>
      <c r="Q834" t="s">
        <v>1520</v>
      </c>
      <c r="R834" s="6" t="s">
        <v>28</v>
      </c>
      <c r="S834" s="6" t="s">
        <v>44</v>
      </c>
      <c r="T834" s="14">
        <v>4.9399999999999999E-2</v>
      </c>
      <c r="U834">
        <v>4.9400000000000004</v>
      </c>
      <c r="V834" t="str">
        <f>IF(fin_table[[#This Row],[Interest Rate(%)]]&gt;4,"high","low")</f>
        <v>high</v>
      </c>
      <c r="W834" s="5">
        <v>26645.85</v>
      </c>
      <c r="X834" s="5">
        <f>fin_table[[#This Row],[Interest Rate]]*fin_table[[#This Row],[Loan Amount]]</f>
        <v>1316.3049899999999</v>
      </c>
      <c r="Y834">
        <v>13</v>
      </c>
      <c r="Z834" s="3">
        <v>550</v>
      </c>
      <c r="AA834" s="3" t="str">
        <f t="shared" ref="AA834:AA897" si="95">IF(Z834&lt;580, "Poor", IF(Z834&lt;670, "Fair", IF(Z834&lt;740, "Good", IF(Z834&lt;800, "Very Good", "Excellent"))))</f>
        <v>Poor</v>
      </c>
      <c r="AB834" s="3" cm="1">
        <f t="array" ref="AB834">_xlfn.IFS(fin_table[[#This Row],[Transaction Status]]="Failed", 1, fin_table[[#This Row],[Transaction Status]]="Completed",0,fin_table[[#This Row],[Transaction Status]]="Pending",2)</f>
        <v>0</v>
      </c>
      <c r="AC834" s="3" t="str">
        <f>IF(fin_table[[#This Row],[Loan Defaulters]]=1,"Default", "Good")</f>
        <v>Good</v>
      </c>
      <c r="AD834" s="3">
        <f t="shared" ref="AD834:AD897" si="96">IF(AA834="Poor", 1, IF(AA834="Fair", 2, IF(AA834="Good", 3, IF(AA834="Very Good", 4, IF(AA834="Excellent", 5, "")))))</f>
        <v>1</v>
      </c>
      <c r="AE834" s="4">
        <v>14744.19</v>
      </c>
      <c r="AF834" s="4" t="str">
        <f>IF(fin_table[[#This Row],[Monthly Income]]&lt;3000, "Low Income", IF(fin_table[[#This Row],[Monthly Income]]&lt;=5000, "Middle Income", "High Income"))</f>
        <v>High Income</v>
      </c>
      <c r="AG834" t="s">
        <v>63</v>
      </c>
      <c r="AH834" t="s">
        <v>3636</v>
      </c>
      <c r="AI834" t="str">
        <f t="shared" ref="AI834:AI897" si="97">IF(AND(W834&gt;33000, Z834&lt;600), "High-Risk", "Low-Risk")</f>
        <v>Low-Risk</v>
      </c>
    </row>
    <row r="835" spans="1:35" x14ac:dyDescent="0.35">
      <c r="A835" t="s">
        <v>3045</v>
      </c>
      <c r="B835" t="s">
        <v>3046</v>
      </c>
      <c r="C835" t="s">
        <v>3047</v>
      </c>
      <c r="D835" s="1">
        <v>44980</v>
      </c>
      <c r="E835" s="1" t="str">
        <f t="shared" si="91"/>
        <v>23</v>
      </c>
      <c r="F835" s="1" t="str">
        <f t="shared" si="92"/>
        <v>Feb</v>
      </c>
      <c r="G835" s="6" t="s">
        <v>71</v>
      </c>
      <c r="H835" s="5">
        <v>6358.38</v>
      </c>
      <c r="I835" s="5" t="str">
        <f>IF(fin_table[[#This Row],[Account Balance]]&lt;20000,"Active", "Not Active")</f>
        <v>Not Active</v>
      </c>
      <c r="J835" s="5">
        <v>34829.879999999997</v>
      </c>
      <c r="K835" s="5" t="str">
        <f t="shared" si="93"/>
        <v>Medium</v>
      </c>
      <c r="L835" s="6" t="s">
        <v>49</v>
      </c>
      <c r="M835">
        <v>54</v>
      </c>
      <c r="N835" s="6" t="str">
        <f t="shared" si="94"/>
        <v>Older Adults</v>
      </c>
      <c r="O835" s="6" t="s">
        <v>25</v>
      </c>
      <c r="P835" s="6" t="s">
        <v>36</v>
      </c>
      <c r="Q835" t="s">
        <v>2131</v>
      </c>
      <c r="R835" s="6" t="s">
        <v>52</v>
      </c>
      <c r="S835" s="6" t="s">
        <v>62</v>
      </c>
      <c r="T835" s="14">
        <v>1.12E-2</v>
      </c>
      <c r="U835">
        <v>1.1200000000000001</v>
      </c>
      <c r="V835" t="str">
        <f>IF(fin_table[[#This Row],[Interest Rate(%)]]&gt;4,"high","low")</f>
        <v>low</v>
      </c>
      <c r="W835" s="5">
        <v>26681.654999999999</v>
      </c>
      <c r="X835" s="5">
        <f>fin_table[[#This Row],[Interest Rate]]*fin_table[[#This Row],[Loan Amount]]</f>
        <v>298.83453599999996</v>
      </c>
      <c r="Y835">
        <v>27</v>
      </c>
      <c r="Z835" s="3">
        <v>434</v>
      </c>
      <c r="AA835" s="3" t="str">
        <f t="shared" si="95"/>
        <v>Poor</v>
      </c>
      <c r="AB835" s="3" cm="1">
        <f t="array" ref="AB835">_xlfn.IFS(fin_table[[#This Row],[Transaction Status]]="Failed", 1, fin_table[[#This Row],[Transaction Status]]="Completed",0,fin_table[[#This Row],[Transaction Status]]="Pending",2)</f>
        <v>2</v>
      </c>
      <c r="AC835" s="3" t="str">
        <f>IF(fin_table[[#This Row],[Loan Defaulters]]=1,"Default", "Good")</f>
        <v>Good</v>
      </c>
      <c r="AD835" s="3">
        <f t="shared" si="96"/>
        <v>1</v>
      </c>
      <c r="AE835" s="4">
        <v>10011.790000000001</v>
      </c>
      <c r="AF835" s="4" t="str">
        <f>IF(fin_table[[#This Row],[Monthly Income]]&lt;3000, "Low Income", IF(fin_table[[#This Row],[Monthly Income]]&lt;=5000, "Middle Income", "High Income"))</f>
        <v>High Income</v>
      </c>
      <c r="AG835" t="s">
        <v>45</v>
      </c>
      <c r="AH835" t="s">
        <v>3635</v>
      </c>
      <c r="AI835" t="str">
        <f t="shared" si="97"/>
        <v>Low-Risk</v>
      </c>
    </row>
    <row r="836" spans="1:35" x14ac:dyDescent="0.35">
      <c r="A836" t="s">
        <v>3048</v>
      </c>
      <c r="B836" t="s">
        <v>3049</v>
      </c>
      <c r="C836" t="s">
        <v>3050</v>
      </c>
      <c r="D836" s="1">
        <v>44925</v>
      </c>
      <c r="E836" s="1" t="str">
        <f t="shared" si="91"/>
        <v>30</v>
      </c>
      <c r="F836" s="1" t="str">
        <f t="shared" si="92"/>
        <v>Dec</v>
      </c>
      <c r="G836" s="6" t="s">
        <v>71</v>
      </c>
      <c r="H836" s="5">
        <v>1386.42</v>
      </c>
      <c r="I836" s="5" t="str">
        <f>IF(fin_table[[#This Row],[Account Balance]]&lt;20000,"Active", "Not Active")</f>
        <v>Active</v>
      </c>
      <c r="J836" s="5">
        <v>17686.7</v>
      </c>
      <c r="K836" s="5" t="str">
        <f t="shared" si="93"/>
        <v>Medium</v>
      </c>
      <c r="L836" s="6" t="s">
        <v>100</v>
      </c>
      <c r="M836">
        <v>67</v>
      </c>
      <c r="N836" s="6" t="str">
        <f t="shared" si="94"/>
        <v>Seniors</v>
      </c>
      <c r="O836" s="6" t="s">
        <v>42</v>
      </c>
      <c r="P836" s="6" t="s">
        <v>50</v>
      </c>
      <c r="Q836" t="s">
        <v>3051</v>
      </c>
      <c r="R836" s="6" t="s">
        <v>52</v>
      </c>
      <c r="S836" s="6" t="s">
        <v>44</v>
      </c>
      <c r="T836" s="14">
        <v>4.99E-2</v>
      </c>
      <c r="U836">
        <v>4.99</v>
      </c>
      <c r="V836" t="str">
        <f>IF(fin_table[[#This Row],[Interest Rate(%)]]&gt;4,"high","low")</f>
        <v>high</v>
      </c>
      <c r="W836" s="5">
        <v>26681.654999999999</v>
      </c>
      <c r="X836" s="5">
        <f>fin_table[[#This Row],[Interest Rate]]*fin_table[[#This Row],[Loan Amount]]</f>
        <v>1331.4145845</v>
      </c>
      <c r="Y836">
        <v>6</v>
      </c>
      <c r="Z836" s="3">
        <v>389</v>
      </c>
      <c r="AA836" s="3" t="str">
        <f t="shared" si="95"/>
        <v>Poor</v>
      </c>
      <c r="AB836" s="3" cm="1">
        <f t="array" ref="AB836">_xlfn.IFS(fin_table[[#This Row],[Transaction Status]]="Failed", 1, fin_table[[#This Row],[Transaction Status]]="Completed",0,fin_table[[#This Row],[Transaction Status]]="Pending",2)</f>
        <v>0</v>
      </c>
      <c r="AC836" s="3" t="str">
        <f>IF(fin_table[[#This Row],[Loan Defaulters]]=1,"Default", "Good")</f>
        <v>Good</v>
      </c>
      <c r="AD836" s="3">
        <f t="shared" si="96"/>
        <v>1</v>
      </c>
      <c r="AE836" s="4">
        <v>4385.04</v>
      </c>
      <c r="AF836" s="4" t="str">
        <f>IF(fin_table[[#This Row],[Monthly Income]]&lt;3000, "Low Income", IF(fin_table[[#This Row],[Monthly Income]]&lt;=5000, "Middle Income", "High Income"))</f>
        <v>Middle Income</v>
      </c>
      <c r="AG836" t="s">
        <v>63</v>
      </c>
      <c r="AH836" t="s">
        <v>3635</v>
      </c>
      <c r="AI836" t="str">
        <f t="shared" si="97"/>
        <v>Low-Risk</v>
      </c>
    </row>
    <row r="837" spans="1:35" x14ac:dyDescent="0.35">
      <c r="A837" t="s">
        <v>3052</v>
      </c>
      <c r="B837" t="s">
        <v>3053</v>
      </c>
      <c r="C837" t="s">
        <v>3054</v>
      </c>
      <c r="D837" s="1">
        <v>44789</v>
      </c>
      <c r="E837" s="1" t="str">
        <f t="shared" si="91"/>
        <v>16</v>
      </c>
      <c r="F837" s="1" t="str">
        <f t="shared" si="92"/>
        <v>Aug</v>
      </c>
      <c r="G837" s="6" t="s">
        <v>34</v>
      </c>
      <c r="H837" s="5">
        <v>5644.91</v>
      </c>
      <c r="I837" s="5" t="str">
        <f>IF(fin_table[[#This Row],[Account Balance]]&lt;20000,"Active", "Not Active")</f>
        <v>Not Active</v>
      </c>
      <c r="J837" s="5">
        <v>40443.22</v>
      </c>
      <c r="K837" s="5" t="str">
        <f t="shared" si="93"/>
        <v>Medium</v>
      </c>
      <c r="L837" s="6" t="s">
        <v>49</v>
      </c>
      <c r="M837">
        <v>49</v>
      </c>
      <c r="N837" s="6" t="str">
        <f t="shared" si="94"/>
        <v>Older Adults</v>
      </c>
      <c r="O837" s="6" t="s">
        <v>42</v>
      </c>
      <c r="P837" s="6" t="s">
        <v>26</v>
      </c>
      <c r="Q837" t="s">
        <v>3055</v>
      </c>
      <c r="R837" s="6" t="s">
        <v>38</v>
      </c>
      <c r="S837" s="6" t="s">
        <v>44</v>
      </c>
      <c r="T837" s="14">
        <v>3.49E-2</v>
      </c>
      <c r="U837">
        <v>3.49</v>
      </c>
      <c r="V837" t="str">
        <f>IF(fin_table[[#This Row],[Interest Rate(%)]]&gt;4,"high","low")</f>
        <v>low</v>
      </c>
      <c r="W837" s="5">
        <v>26681.654999999999</v>
      </c>
      <c r="X837" s="5">
        <f>fin_table[[#This Row],[Interest Rate]]*fin_table[[#This Row],[Loan Amount]]</f>
        <v>931.18975949999992</v>
      </c>
      <c r="Y837">
        <v>22</v>
      </c>
      <c r="Z837" s="3">
        <v>739</v>
      </c>
      <c r="AA837" s="3" t="str">
        <f t="shared" si="95"/>
        <v>Good</v>
      </c>
      <c r="AB837" s="3" cm="1">
        <f t="array" ref="AB837">_xlfn.IFS(fin_table[[#This Row],[Transaction Status]]="Failed", 1, fin_table[[#This Row],[Transaction Status]]="Completed",0,fin_table[[#This Row],[Transaction Status]]="Pending",2)</f>
        <v>0</v>
      </c>
      <c r="AC837" s="3" t="str">
        <f>IF(fin_table[[#This Row],[Loan Defaulters]]=1,"Default", "Good")</f>
        <v>Good</v>
      </c>
      <c r="AD837" s="3">
        <f t="shared" si="96"/>
        <v>3</v>
      </c>
      <c r="AE837" s="4">
        <v>10827.9</v>
      </c>
      <c r="AF837" s="4" t="str">
        <f>IF(fin_table[[#This Row],[Monthly Income]]&lt;3000, "Low Income", IF(fin_table[[#This Row],[Monthly Income]]&lt;=5000, "Middle Income", "High Income"))</f>
        <v>High Income</v>
      </c>
      <c r="AG837" t="s">
        <v>45</v>
      </c>
      <c r="AH837" t="s">
        <v>3635</v>
      </c>
      <c r="AI837" t="str">
        <f t="shared" si="97"/>
        <v>Low-Risk</v>
      </c>
    </row>
    <row r="838" spans="1:35" x14ac:dyDescent="0.35">
      <c r="A838" t="s">
        <v>3056</v>
      </c>
      <c r="B838" t="s">
        <v>3057</v>
      </c>
      <c r="C838" t="s">
        <v>3058</v>
      </c>
      <c r="D838" s="1">
        <v>44757</v>
      </c>
      <c r="E838" s="1" t="str">
        <f t="shared" si="91"/>
        <v>15</v>
      </c>
      <c r="F838" s="1" t="str">
        <f t="shared" si="92"/>
        <v>Jul</v>
      </c>
      <c r="G838" s="6" t="s">
        <v>71</v>
      </c>
      <c r="H838" s="5">
        <v>7829.25</v>
      </c>
      <c r="I838" s="5" t="str">
        <f>IF(fin_table[[#This Row],[Account Balance]]&lt;20000,"Active", "Not Active")</f>
        <v>Active</v>
      </c>
      <c r="J838" s="5">
        <v>3567.17</v>
      </c>
      <c r="K838" s="5" t="str">
        <f t="shared" si="93"/>
        <v>Low</v>
      </c>
      <c r="L838" s="6" t="s">
        <v>49</v>
      </c>
      <c r="M838">
        <v>20</v>
      </c>
      <c r="N838" s="6" t="str">
        <f t="shared" si="94"/>
        <v>Young Adults</v>
      </c>
      <c r="O838" s="6" t="s">
        <v>42</v>
      </c>
      <c r="P838" s="6" t="s">
        <v>36</v>
      </c>
      <c r="Q838" t="s">
        <v>1991</v>
      </c>
      <c r="R838" s="6" t="s">
        <v>52</v>
      </c>
      <c r="S838" s="6" t="s">
        <v>44</v>
      </c>
      <c r="T838" s="14">
        <v>3.2300000000000002E-2</v>
      </c>
      <c r="U838">
        <v>3.23</v>
      </c>
      <c r="V838" t="str">
        <f>IF(fin_table[[#This Row],[Interest Rate(%)]]&gt;4,"high","low")</f>
        <v>low</v>
      </c>
      <c r="W838" s="5">
        <v>41225.51</v>
      </c>
      <c r="X838" s="5">
        <f>fin_table[[#This Row],[Interest Rate]]*fin_table[[#This Row],[Loan Amount]]</f>
        <v>1331.5839730000002</v>
      </c>
      <c r="Y838">
        <v>26</v>
      </c>
      <c r="Z838" s="3">
        <v>597</v>
      </c>
      <c r="AA838" s="3" t="str">
        <f t="shared" si="95"/>
        <v>Fair</v>
      </c>
      <c r="AB838" s="3" cm="1">
        <f t="array" ref="AB838">_xlfn.IFS(fin_table[[#This Row],[Transaction Status]]="Failed", 1, fin_table[[#This Row],[Transaction Status]]="Completed",0,fin_table[[#This Row],[Transaction Status]]="Pending",2)</f>
        <v>0</v>
      </c>
      <c r="AC838" s="3" t="str">
        <f>IF(fin_table[[#This Row],[Loan Defaulters]]=1,"Default", "Good")</f>
        <v>Good</v>
      </c>
      <c r="AD838" s="3">
        <f t="shared" si="96"/>
        <v>2</v>
      </c>
      <c r="AE838" s="4">
        <v>11923.96</v>
      </c>
      <c r="AF838" s="4" t="str">
        <f>IF(fin_table[[#This Row],[Monthly Income]]&lt;3000, "Low Income", IF(fin_table[[#This Row],[Monthly Income]]&lt;=5000, "Middle Income", "High Income"))</f>
        <v>High Income</v>
      </c>
      <c r="AG838" t="s">
        <v>30</v>
      </c>
      <c r="AH838" t="s">
        <v>3636</v>
      </c>
      <c r="AI838" t="str">
        <f t="shared" si="97"/>
        <v>High-Risk</v>
      </c>
    </row>
    <row r="839" spans="1:35" x14ac:dyDescent="0.35">
      <c r="A839" t="s">
        <v>3059</v>
      </c>
      <c r="B839" t="s">
        <v>3060</v>
      </c>
      <c r="C839" t="s">
        <v>3061</v>
      </c>
      <c r="D839" s="1">
        <v>44588</v>
      </c>
      <c r="E839" s="1" t="str">
        <f t="shared" si="91"/>
        <v>27</v>
      </c>
      <c r="F839" s="1" t="str">
        <f t="shared" si="92"/>
        <v>Jan</v>
      </c>
      <c r="G839" s="6" t="s">
        <v>34</v>
      </c>
      <c r="H839" s="5">
        <v>7114.05</v>
      </c>
      <c r="I839" s="5" t="str">
        <f>IF(fin_table[[#This Row],[Account Balance]]&lt;20000,"Active", "Not Active")</f>
        <v>Active</v>
      </c>
      <c r="J839" s="5">
        <v>8821.6200000000008</v>
      </c>
      <c r="K839" s="5" t="str">
        <f t="shared" si="93"/>
        <v>Low</v>
      </c>
      <c r="L839" s="6" t="s">
        <v>100</v>
      </c>
      <c r="M839">
        <v>20</v>
      </c>
      <c r="N839" s="6" t="str">
        <f t="shared" si="94"/>
        <v>Young Adults</v>
      </c>
      <c r="O839" s="6" t="s">
        <v>25</v>
      </c>
      <c r="P839" s="6" t="s">
        <v>36</v>
      </c>
      <c r="Q839" t="s">
        <v>2063</v>
      </c>
      <c r="R839" s="6" t="s">
        <v>38</v>
      </c>
      <c r="S839" s="6" t="s">
        <v>29</v>
      </c>
      <c r="T839" s="14">
        <v>1.24E-2</v>
      </c>
      <c r="U839">
        <v>1.24</v>
      </c>
      <c r="V839" t="str">
        <f>IF(fin_table[[#This Row],[Interest Rate(%)]]&gt;4,"high","low")</f>
        <v>low</v>
      </c>
      <c r="W839" s="5">
        <v>15353.87</v>
      </c>
      <c r="X839" s="5">
        <f>fin_table[[#This Row],[Interest Rate]]*fin_table[[#This Row],[Loan Amount]]</f>
        <v>190.38798800000001</v>
      </c>
      <c r="Y839">
        <v>22</v>
      </c>
      <c r="Z839" s="3">
        <v>706</v>
      </c>
      <c r="AA839" s="3" t="str">
        <f t="shared" si="95"/>
        <v>Good</v>
      </c>
      <c r="AB839" s="3" cm="1">
        <f t="array" ref="AB839">_xlfn.IFS(fin_table[[#This Row],[Transaction Status]]="Failed", 1, fin_table[[#This Row],[Transaction Status]]="Completed",0,fin_table[[#This Row],[Transaction Status]]="Pending",2)</f>
        <v>1</v>
      </c>
      <c r="AC839" s="3" t="str">
        <f>IF(fin_table[[#This Row],[Loan Defaulters]]=1,"Default", "Good")</f>
        <v>Default</v>
      </c>
      <c r="AD839" s="3">
        <f t="shared" si="96"/>
        <v>3</v>
      </c>
      <c r="AE839" s="4">
        <v>7581.46</v>
      </c>
      <c r="AF839" s="4" t="str">
        <f>IF(fin_table[[#This Row],[Monthly Income]]&lt;3000, "Low Income", IF(fin_table[[#This Row],[Monthly Income]]&lt;=5000, "Middle Income", "High Income"))</f>
        <v>High Income</v>
      </c>
      <c r="AG839" t="s">
        <v>30</v>
      </c>
      <c r="AH839" t="s">
        <v>3636</v>
      </c>
      <c r="AI839" t="str">
        <f t="shared" si="97"/>
        <v>Low-Risk</v>
      </c>
    </row>
    <row r="840" spans="1:35" x14ac:dyDescent="0.35">
      <c r="A840" t="s">
        <v>3062</v>
      </c>
      <c r="B840" t="s">
        <v>3063</v>
      </c>
      <c r="C840" t="s">
        <v>3064</v>
      </c>
      <c r="D840" s="1">
        <v>44801</v>
      </c>
      <c r="E840" s="1" t="str">
        <f t="shared" si="91"/>
        <v>28</v>
      </c>
      <c r="F840" s="1" t="str">
        <f t="shared" si="92"/>
        <v>Aug</v>
      </c>
      <c r="G840" s="6" t="s">
        <v>71</v>
      </c>
      <c r="H840" s="5">
        <v>1803.68</v>
      </c>
      <c r="I840" s="5" t="str">
        <f>IF(fin_table[[#This Row],[Account Balance]]&lt;20000,"Active", "Not Active")</f>
        <v>Active</v>
      </c>
      <c r="J840" s="5">
        <v>17445.54</v>
      </c>
      <c r="K840" s="5" t="str">
        <f t="shared" si="93"/>
        <v>Medium</v>
      </c>
      <c r="L840" s="6" t="s">
        <v>100</v>
      </c>
      <c r="M840">
        <v>39</v>
      </c>
      <c r="N840" s="6" t="str">
        <f t="shared" si="94"/>
        <v>Middle-Aged</v>
      </c>
      <c r="O840" s="6" t="s">
        <v>42</v>
      </c>
      <c r="P840" s="6" t="s">
        <v>26</v>
      </c>
      <c r="Q840" t="s">
        <v>178</v>
      </c>
      <c r="R840" s="6" t="s">
        <v>28</v>
      </c>
      <c r="S840" s="6" t="s">
        <v>44</v>
      </c>
      <c r="T840" s="14">
        <v>2.0899999999999998E-2</v>
      </c>
      <c r="U840">
        <v>2.09</v>
      </c>
      <c r="V840" t="str">
        <f>IF(fin_table[[#This Row],[Interest Rate(%)]]&gt;4,"high","low")</f>
        <v>low</v>
      </c>
      <c r="W840" s="5">
        <v>26681.654999999999</v>
      </c>
      <c r="X840" s="5">
        <f>fin_table[[#This Row],[Interest Rate]]*fin_table[[#This Row],[Loan Amount]]</f>
        <v>557.64658949999989</v>
      </c>
      <c r="Y840">
        <v>5</v>
      </c>
      <c r="Z840" s="3">
        <v>607</v>
      </c>
      <c r="AA840" s="3" t="str">
        <f t="shared" si="95"/>
        <v>Fair</v>
      </c>
      <c r="AB840" s="3" cm="1">
        <f t="array" ref="AB840">_xlfn.IFS(fin_table[[#This Row],[Transaction Status]]="Failed", 1, fin_table[[#This Row],[Transaction Status]]="Completed",0,fin_table[[#This Row],[Transaction Status]]="Pending",2)</f>
        <v>0</v>
      </c>
      <c r="AC840" s="3" t="str">
        <f>IF(fin_table[[#This Row],[Loan Defaulters]]=1,"Default", "Good")</f>
        <v>Good</v>
      </c>
      <c r="AD840" s="3">
        <f t="shared" si="96"/>
        <v>2</v>
      </c>
      <c r="AE840" s="4">
        <v>13201.22</v>
      </c>
      <c r="AF840" s="4" t="str">
        <f>IF(fin_table[[#This Row],[Monthly Income]]&lt;3000, "Low Income", IF(fin_table[[#This Row],[Monthly Income]]&lt;=5000, "Middle Income", "High Income"))</f>
        <v>High Income</v>
      </c>
      <c r="AG840" t="s">
        <v>30</v>
      </c>
      <c r="AH840" t="s">
        <v>3635</v>
      </c>
      <c r="AI840" t="str">
        <f t="shared" si="97"/>
        <v>Low-Risk</v>
      </c>
    </row>
    <row r="841" spans="1:35" x14ac:dyDescent="0.35">
      <c r="A841" t="s">
        <v>3065</v>
      </c>
      <c r="B841" t="s">
        <v>3066</v>
      </c>
      <c r="C841" t="s">
        <v>3067</v>
      </c>
      <c r="D841" s="1">
        <v>44841</v>
      </c>
      <c r="E841" s="1" t="str">
        <f t="shared" si="91"/>
        <v>07</v>
      </c>
      <c r="F841" s="1" t="str">
        <f t="shared" si="92"/>
        <v>Oct</v>
      </c>
      <c r="G841" s="6" t="s">
        <v>56</v>
      </c>
      <c r="H841" s="5">
        <v>9726.9599999999991</v>
      </c>
      <c r="I841" s="5" t="str">
        <f>IF(fin_table[[#This Row],[Account Balance]]&lt;20000,"Active", "Not Active")</f>
        <v>Active</v>
      </c>
      <c r="J841" s="5">
        <v>4763.5600000000004</v>
      </c>
      <c r="K841" s="5" t="str">
        <f t="shared" si="93"/>
        <v>Low</v>
      </c>
      <c r="L841" s="6" t="s">
        <v>125</v>
      </c>
      <c r="M841">
        <v>39</v>
      </c>
      <c r="N841" s="6" t="str">
        <f t="shared" si="94"/>
        <v>Middle-Aged</v>
      </c>
      <c r="O841" s="6" t="s">
        <v>25</v>
      </c>
      <c r="P841" s="6" t="s">
        <v>50</v>
      </c>
      <c r="Q841" t="s">
        <v>3068</v>
      </c>
      <c r="R841" s="6" t="s">
        <v>52</v>
      </c>
      <c r="S841" s="6" t="s">
        <v>29</v>
      </c>
      <c r="T841" s="14">
        <v>4.7E-2</v>
      </c>
      <c r="U841">
        <v>4.7E-2</v>
      </c>
      <c r="V841" t="str">
        <f>IF(fin_table[[#This Row],[Interest Rate(%)]]&gt;4,"high","low")</f>
        <v>low</v>
      </c>
      <c r="W841" s="5">
        <v>26681.654999999999</v>
      </c>
      <c r="X841" s="5">
        <f>fin_table[[#This Row],[Interest Rate]]*fin_table[[#This Row],[Loan Amount]]</f>
        <v>1254.037785</v>
      </c>
      <c r="Y841">
        <v>13</v>
      </c>
      <c r="Z841" s="3">
        <v>401</v>
      </c>
      <c r="AA841" s="3" t="str">
        <f t="shared" si="95"/>
        <v>Poor</v>
      </c>
      <c r="AB841" s="3" cm="1">
        <f t="array" ref="AB841">_xlfn.IFS(fin_table[[#This Row],[Transaction Status]]="Failed", 1, fin_table[[#This Row],[Transaction Status]]="Completed",0,fin_table[[#This Row],[Transaction Status]]="Pending",2)</f>
        <v>1</v>
      </c>
      <c r="AC841" s="3" t="str">
        <f>IF(fin_table[[#This Row],[Loan Defaulters]]=1,"Default", "Good")</f>
        <v>Default</v>
      </c>
      <c r="AD841" s="3">
        <f t="shared" si="96"/>
        <v>1</v>
      </c>
      <c r="AE841" s="4">
        <v>3959.52</v>
      </c>
      <c r="AF841" s="4" t="str">
        <f>IF(fin_table[[#This Row],[Monthly Income]]&lt;3000, "Low Income", IF(fin_table[[#This Row],[Monthly Income]]&lt;=5000, "Middle Income", "High Income"))</f>
        <v>Middle Income</v>
      </c>
      <c r="AG841" t="s">
        <v>45</v>
      </c>
      <c r="AH841" t="s">
        <v>3635</v>
      </c>
      <c r="AI841" t="str">
        <f t="shared" si="97"/>
        <v>Low-Risk</v>
      </c>
    </row>
    <row r="842" spans="1:35" x14ac:dyDescent="0.35">
      <c r="A842" t="s">
        <v>3069</v>
      </c>
      <c r="B842" t="s">
        <v>3070</v>
      </c>
      <c r="C842" t="s">
        <v>3071</v>
      </c>
      <c r="D842" s="1">
        <v>44692</v>
      </c>
      <c r="E842" s="1" t="str">
        <f t="shared" si="91"/>
        <v>11</v>
      </c>
      <c r="F842" s="1" t="str">
        <f t="shared" si="92"/>
        <v>May</v>
      </c>
      <c r="G842" s="6" t="s">
        <v>56</v>
      </c>
      <c r="H842" s="5">
        <v>4543.26</v>
      </c>
      <c r="I842" s="5" t="str">
        <f>IF(fin_table[[#This Row],[Account Balance]]&lt;20000,"Active", "Not Active")</f>
        <v>Active</v>
      </c>
      <c r="J842" s="5">
        <v>12514.72</v>
      </c>
      <c r="K842" s="5" t="str">
        <f t="shared" si="93"/>
        <v>Medium</v>
      </c>
      <c r="L842" s="6" t="s">
        <v>125</v>
      </c>
      <c r="M842">
        <v>27</v>
      </c>
      <c r="N842" s="6" t="str">
        <f t="shared" si="94"/>
        <v>Adults</v>
      </c>
      <c r="O842" s="6" t="s">
        <v>25</v>
      </c>
      <c r="P842" s="6" t="s">
        <v>36</v>
      </c>
      <c r="Q842" t="s">
        <v>1121</v>
      </c>
      <c r="R842" s="6" t="s">
        <v>38</v>
      </c>
      <c r="S842" s="6" t="s">
        <v>44</v>
      </c>
      <c r="T842" s="14">
        <v>2.4199999999999999E-2</v>
      </c>
      <c r="U842">
        <v>2.42</v>
      </c>
      <c r="V842" t="str">
        <f>IF(fin_table[[#This Row],[Interest Rate(%)]]&gt;4,"high","low")</f>
        <v>low</v>
      </c>
      <c r="W842" s="5">
        <v>18352.29</v>
      </c>
      <c r="X842" s="5">
        <f>fin_table[[#This Row],[Interest Rate]]*fin_table[[#This Row],[Loan Amount]]</f>
        <v>444.12541800000002</v>
      </c>
      <c r="Y842">
        <v>13</v>
      </c>
      <c r="Z842" s="3">
        <v>660</v>
      </c>
      <c r="AA842" s="3" t="str">
        <f t="shared" si="95"/>
        <v>Fair</v>
      </c>
      <c r="AB842" s="3" cm="1">
        <f t="array" ref="AB842">_xlfn.IFS(fin_table[[#This Row],[Transaction Status]]="Failed", 1, fin_table[[#This Row],[Transaction Status]]="Completed",0,fin_table[[#This Row],[Transaction Status]]="Pending",2)</f>
        <v>0</v>
      </c>
      <c r="AC842" s="3" t="str">
        <f>IF(fin_table[[#This Row],[Loan Defaulters]]=1,"Default", "Good")</f>
        <v>Good</v>
      </c>
      <c r="AD842" s="3">
        <f t="shared" si="96"/>
        <v>2</v>
      </c>
      <c r="AE842" s="4">
        <v>5624.89</v>
      </c>
      <c r="AF842" s="4" t="str">
        <f>IF(fin_table[[#This Row],[Monthly Income]]&lt;3000, "Low Income", IF(fin_table[[#This Row],[Monthly Income]]&lt;=5000, "Middle Income", "High Income"))</f>
        <v>High Income</v>
      </c>
      <c r="AG842" t="s">
        <v>63</v>
      </c>
      <c r="AH842" t="s">
        <v>3636</v>
      </c>
      <c r="AI842" t="str">
        <f t="shared" si="97"/>
        <v>Low-Risk</v>
      </c>
    </row>
    <row r="843" spans="1:35" x14ac:dyDescent="0.35">
      <c r="A843" t="s">
        <v>3072</v>
      </c>
      <c r="B843" t="s">
        <v>2456</v>
      </c>
      <c r="C843" t="s">
        <v>3073</v>
      </c>
      <c r="D843" s="1">
        <v>44745</v>
      </c>
      <c r="E843" s="1" t="str">
        <f t="shared" si="91"/>
        <v>03</v>
      </c>
      <c r="F843" s="1" t="str">
        <f t="shared" si="92"/>
        <v>Jul</v>
      </c>
      <c r="G843" s="6" t="s">
        <v>34</v>
      </c>
      <c r="H843" s="5">
        <v>1674.35</v>
      </c>
      <c r="I843" s="5" t="str">
        <f>IF(fin_table[[#This Row],[Account Balance]]&lt;20000,"Active", "Not Active")</f>
        <v>Not Active</v>
      </c>
      <c r="J843" s="5">
        <v>41677.4</v>
      </c>
      <c r="K843" s="5" t="str">
        <f t="shared" si="93"/>
        <v>Medium</v>
      </c>
      <c r="L843" s="6" t="s">
        <v>100</v>
      </c>
      <c r="M843">
        <v>68</v>
      </c>
      <c r="N843" s="6" t="str">
        <f t="shared" si="94"/>
        <v>Seniors</v>
      </c>
      <c r="O843" s="6" t="s">
        <v>25</v>
      </c>
      <c r="P843" s="6" t="s">
        <v>50</v>
      </c>
      <c r="Q843" t="s">
        <v>3074</v>
      </c>
      <c r="R843" s="6" t="s">
        <v>52</v>
      </c>
      <c r="S843" s="6" t="s">
        <v>29</v>
      </c>
      <c r="T843" s="14">
        <v>3.6499999999999998E-2</v>
      </c>
      <c r="U843">
        <v>3.65</v>
      </c>
      <c r="V843" t="str">
        <f>IF(fin_table[[#This Row],[Interest Rate(%)]]&gt;4,"high","low")</f>
        <v>low</v>
      </c>
      <c r="W843" s="5">
        <v>26681.654999999999</v>
      </c>
      <c r="X843" s="5">
        <f>fin_table[[#This Row],[Interest Rate]]*fin_table[[#This Row],[Loan Amount]]</f>
        <v>973.88040749999993</v>
      </c>
      <c r="Y843">
        <v>13</v>
      </c>
      <c r="Z843" s="3">
        <v>827</v>
      </c>
      <c r="AA843" s="3" t="str">
        <f t="shared" si="95"/>
        <v>Excellent</v>
      </c>
      <c r="AB843" s="3" cm="1">
        <f t="array" ref="AB843">_xlfn.IFS(fin_table[[#This Row],[Transaction Status]]="Failed", 1, fin_table[[#This Row],[Transaction Status]]="Completed",0,fin_table[[#This Row],[Transaction Status]]="Pending",2)</f>
        <v>1</v>
      </c>
      <c r="AC843" s="3" t="str">
        <f>IF(fin_table[[#This Row],[Loan Defaulters]]=1,"Default", "Good")</f>
        <v>Default</v>
      </c>
      <c r="AD843" s="3">
        <f t="shared" si="96"/>
        <v>5</v>
      </c>
      <c r="AE843" s="4">
        <v>3215.4</v>
      </c>
      <c r="AF843" s="4" t="str">
        <f>IF(fin_table[[#This Row],[Monthly Income]]&lt;3000, "Low Income", IF(fin_table[[#This Row],[Monthly Income]]&lt;=5000, "Middle Income", "High Income"))</f>
        <v>Middle Income</v>
      </c>
      <c r="AG843" t="s">
        <v>30</v>
      </c>
      <c r="AH843" t="s">
        <v>3635</v>
      </c>
      <c r="AI843" t="str">
        <f t="shared" si="97"/>
        <v>Low-Risk</v>
      </c>
    </row>
    <row r="844" spans="1:35" x14ac:dyDescent="0.35">
      <c r="A844" t="s">
        <v>3075</v>
      </c>
      <c r="B844" t="s">
        <v>3076</v>
      </c>
      <c r="C844" t="s">
        <v>3077</v>
      </c>
      <c r="D844" s="1">
        <v>44657</v>
      </c>
      <c r="E844" s="1" t="str">
        <f t="shared" si="91"/>
        <v>06</v>
      </c>
      <c r="F844" s="1" t="str">
        <f t="shared" si="92"/>
        <v>Apr</v>
      </c>
      <c r="G844" s="6" t="s">
        <v>71</v>
      </c>
      <c r="H844" s="5">
        <v>1883.94</v>
      </c>
      <c r="I844" s="5" t="str">
        <f>IF(fin_table[[#This Row],[Account Balance]]&lt;20000,"Active", "Not Active")</f>
        <v>Not Active</v>
      </c>
      <c r="J844" s="5">
        <v>47464.33</v>
      </c>
      <c r="K844" s="5" t="str">
        <f t="shared" si="93"/>
        <v>Medium</v>
      </c>
      <c r="L844" s="6" t="s">
        <v>24</v>
      </c>
      <c r="M844">
        <v>20</v>
      </c>
      <c r="N844" s="6" t="str">
        <f t="shared" si="94"/>
        <v>Young Adults</v>
      </c>
      <c r="O844" s="6" t="s">
        <v>25</v>
      </c>
      <c r="P844" s="6" t="s">
        <v>50</v>
      </c>
      <c r="Q844" t="s">
        <v>1225</v>
      </c>
      <c r="R844" s="6" t="s">
        <v>38</v>
      </c>
      <c r="S844" s="6" t="s">
        <v>44</v>
      </c>
      <c r="T844" s="47">
        <v>0.05</v>
      </c>
      <c r="U844">
        <v>0.05</v>
      </c>
      <c r="V844" t="str">
        <f>IF(fin_table[[#This Row],[Interest Rate(%)]]&gt;4,"high","low")</f>
        <v>low</v>
      </c>
      <c r="W844" s="5">
        <v>26681.654999999999</v>
      </c>
      <c r="X844" s="5">
        <f>fin_table[[#This Row],[Interest Rate]]*fin_table[[#This Row],[Loan Amount]]</f>
        <v>1334.08275</v>
      </c>
      <c r="Y844">
        <v>9</v>
      </c>
      <c r="Z844" s="3">
        <v>592</v>
      </c>
      <c r="AA844" s="3" t="str">
        <f t="shared" si="95"/>
        <v>Fair</v>
      </c>
      <c r="AB844" s="3" cm="1">
        <f t="array" ref="AB844">_xlfn.IFS(fin_table[[#This Row],[Transaction Status]]="Failed", 1, fin_table[[#This Row],[Transaction Status]]="Completed",0,fin_table[[#This Row],[Transaction Status]]="Pending",2)</f>
        <v>0</v>
      </c>
      <c r="AC844" s="3" t="str">
        <f>IF(fin_table[[#This Row],[Loan Defaulters]]=1,"Default", "Good")</f>
        <v>Good</v>
      </c>
      <c r="AD844" s="3">
        <f t="shared" si="96"/>
        <v>2</v>
      </c>
      <c r="AE844" s="4">
        <v>4741.41</v>
      </c>
      <c r="AF844" s="4" t="str">
        <f>IF(fin_table[[#This Row],[Monthly Income]]&lt;3000, "Low Income", IF(fin_table[[#This Row],[Monthly Income]]&lt;=5000, "Middle Income", "High Income"))</f>
        <v>Middle Income</v>
      </c>
      <c r="AG844" t="s">
        <v>45</v>
      </c>
      <c r="AH844" t="s">
        <v>3635</v>
      </c>
      <c r="AI844" t="str">
        <f t="shared" si="97"/>
        <v>Low-Risk</v>
      </c>
    </row>
    <row r="845" spans="1:35" x14ac:dyDescent="0.35">
      <c r="A845" t="s">
        <v>3078</v>
      </c>
      <c r="B845" t="s">
        <v>3079</v>
      </c>
      <c r="C845" t="s">
        <v>3080</v>
      </c>
      <c r="D845" s="1">
        <v>44617</v>
      </c>
      <c r="E845" s="1" t="str">
        <f t="shared" si="91"/>
        <v>25</v>
      </c>
      <c r="F845" s="1" t="str">
        <f t="shared" si="92"/>
        <v>Feb</v>
      </c>
      <c r="G845" s="6" t="s">
        <v>23</v>
      </c>
      <c r="H845" s="5">
        <v>1072.53</v>
      </c>
      <c r="I845" s="5" t="str">
        <f>IF(fin_table[[#This Row],[Account Balance]]&lt;20000,"Active", "Not Active")</f>
        <v>Active</v>
      </c>
      <c r="J845" s="5">
        <v>15925.52</v>
      </c>
      <c r="K845" s="5" t="str">
        <f t="shared" si="93"/>
        <v>Medium</v>
      </c>
      <c r="L845" s="6" t="s">
        <v>49</v>
      </c>
      <c r="M845">
        <v>29</v>
      </c>
      <c r="N845" s="6" t="str">
        <f t="shared" si="94"/>
        <v>Adults</v>
      </c>
      <c r="O845" s="6" t="s">
        <v>25</v>
      </c>
      <c r="P845" s="6" t="s">
        <v>50</v>
      </c>
      <c r="Q845" t="s">
        <v>3081</v>
      </c>
      <c r="R845" s="6" t="s">
        <v>38</v>
      </c>
      <c r="S845" s="6" t="s">
        <v>44</v>
      </c>
      <c r="T845" s="14">
        <v>2.0500000000000001E-2</v>
      </c>
      <c r="U845">
        <v>2.0499999999999998</v>
      </c>
      <c r="V845" t="str">
        <f>IF(fin_table[[#This Row],[Interest Rate(%)]]&gt;4,"high","low")</f>
        <v>low</v>
      </c>
      <c r="W845" s="5">
        <v>48616.5</v>
      </c>
      <c r="X845" s="5">
        <f>fin_table[[#This Row],[Interest Rate]]*fin_table[[#This Row],[Loan Amount]]</f>
        <v>996.63825000000008</v>
      </c>
      <c r="Y845">
        <v>19</v>
      </c>
      <c r="Z845" s="3">
        <v>445</v>
      </c>
      <c r="AA845" s="3" t="str">
        <f t="shared" si="95"/>
        <v>Poor</v>
      </c>
      <c r="AB845" s="3" cm="1">
        <f t="array" ref="AB845">_xlfn.IFS(fin_table[[#This Row],[Transaction Status]]="Failed", 1, fin_table[[#This Row],[Transaction Status]]="Completed",0,fin_table[[#This Row],[Transaction Status]]="Pending",2)</f>
        <v>0</v>
      </c>
      <c r="AC845" s="3" t="str">
        <f>IF(fin_table[[#This Row],[Loan Defaulters]]=1,"Default", "Good")</f>
        <v>Good</v>
      </c>
      <c r="AD845" s="3">
        <f t="shared" si="96"/>
        <v>1</v>
      </c>
      <c r="AE845" s="4">
        <v>5103.47</v>
      </c>
      <c r="AF845" s="4" t="str">
        <f>IF(fin_table[[#This Row],[Monthly Income]]&lt;3000, "Low Income", IF(fin_table[[#This Row],[Monthly Income]]&lt;=5000, "Middle Income", "High Income"))</f>
        <v>High Income</v>
      </c>
      <c r="AG845" t="s">
        <v>45</v>
      </c>
      <c r="AH845" t="s">
        <v>3636</v>
      </c>
      <c r="AI845" t="str">
        <f t="shared" si="97"/>
        <v>High-Risk</v>
      </c>
    </row>
    <row r="846" spans="1:35" x14ac:dyDescent="0.35">
      <c r="A846" t="s">
        <v>3082</v>
      </c>
      <c r="B846" t="s">
        <v>3083</v>
      </c>
      <c r="C846" t="s">
        <v>3084</v>
      </c>
      <c r="D846" s="1">
        <v>44998</v>
      </c>
      <c r="E846" s="1" t="str">
        <f t="shared" si="91"/>
        <v>13</v>
      </c>
      <c r="F846" s="1" t="str">
        <f t="shared" si="92"/>
        <v>Mar</v>
      </c>
      <c r="G846" s="6" t="s">
        <v>71</v>
      </c>
      <c r="H846" s="5">
        <v>8054.83</v>
      </c>
      <c r="I846" s="5" t="str">
        <f>IF(fin_table[[#This Row],[Account Balance]]&lt;20000,"Active", "Not Active")</f>
        <v>Active</v>
      </c>
      <c r="J846" s="5">
        <v>13961.27</v>
      </c>
      <c r="K846" s="5" t="str">
        <f t="shared" si="93"/>
        <v>Medium</v>
      </c>
      <c r="L846" s="6" t="s">
        <v>125</v>
      </c>
      <c r="M846">
        <v>46</v>
      </c>
      <c r="N846" s="6" t="str">
        <f t="shared" si="94"/>
        <v>Older Adults</v>
      </c>
      <c r="O846" s="6" t="s">
        <v>25</v>
      </c>
      <c r="P846" s="6" t="s">
        <v>50</v>
      </c>
      <c r="Q846" t="s">
        <v>2021</v>
      </c>
      <c r="R846" s="6" t="s">
        <v>38</v>
      </c>
      <c r="S846" s="6" t="s">
        <v>62</v>
      </c>
      <c r="T846" s="14">
        <v>3.3000000000000002E-2</v>
      </c>
      <c r="U846">
        <v>3.3000000000000002E-2</v>
      </c>
      <c r="V846" t="str">
        <f>IF(fin_table[[#This Row],[Interest Rate(%)]]&gt;4,"high","low")</f>
        <v>low</v>
      </c>
      <c r="W846" s="5">
        <v>26681.654999999999</v>
      </c>
      <c r="X846" s="5">
        <f>fin_table[[#This Row],[Interest Rate]]*fin_table[[#This Row],[Loan Amount]]</f>
        <v>880.49461499999995</v>
      </c>
      <c r="Y846">
        <v>19</v>
      </c>
      <c r="Z846" s="3">
        <v>703</v>
      </c>
      <c r="AA846" s="3" t="str">
        <f t="shared" si="95"/>
        <v>Good</v>
      </c>
      <c r="AB846" s="3" cm="1">
        <f t="array" ref="AB846">_xlfn.IFS(fin_table[[#This Row],[Transaction Status]]="Failed", 1, fin_table[[#This Row],[Transaction Status]]="Completed",0,fin_table[[#This Row],[Transaction Status]]="Pending",2)</f>
        <v>2</v>
      </c>
      <c r="AC846" s="3" t="str">
        <f>IF(fin_table[[#This Row],[Loan Defaulters]]=1,"Default", "Good")</f>
        <v>Good</v>
      </c>
      <c r="AD846" s="3">
        <f t="shared" si="96"/>
        <v>3</v>
      </c>
      <c r="AE846" s="4">
        <v>13929.23</v>
      </c>
      <c r="AF846" s="4" t="str">
        <f>IF(fin_table[[#This Row],[Monthly Income]]&lt;3000, "Low Income", IF(fin_table[[#This Row],[Monthly Income]]&lt;=5000, "Middle Income", "High Income"))</f>
        <v>High Income</v>
      </c>
      <c r="AG846" t="s">
        <v>30</v>
      </c>
      <c r="AH846" t="s">
        <v>3635</v>
      </c>
      <c r="AI846" t="str">
        <f t="shared" si="97"/>
        <v>Low-Risk</v>
      </c>
    </row>
    <row r="847" spans="1:35" x14ac:dyDescent="0.35">
      <c r="A847" t="s">
        <v>3085</v>
      </c>
      <c r="B847" t="s">
        <v>3086</v>
      </c>
      <c r="C847" t="s">
        <v>3087</v>
      </c>
      <c r="D847" s="1">
        <v>44904</v>
      </c>
      <c r="E847" s="1" t="str">
        <f t="shared" si="91"/>
        <v>09</v>
      </c>
      <c r="F847" s="1" t="str">
        <f t="shared" si="92"/>
        <v>Dec</v>
      </c>
      <c r="G847" s="6" t="s">
        <v>56</v>
      </c>
      <c r="H847" s="5">
        <v>1308.0999999999999</v>
      </c>
      <c r="I847" s="5" t="str">
        <f>IF(fin_table[[#This Row],[Account Balance]]&lt;20000,"Active", "Not Active")</f>
        <v>Active</v>
      </c>
      <c r="J847" s="5">
        <v>14714.74</v>
      </c>
      <c r="K847" s="5" t="str">
        <f t="shared" si="93"/>
        <v>Medium</v>
      </c>
      <c r="L847" s="6" t="s">
        <v>49</v>
      </c>
      <c r="M847">
        <v>65</v>
      </c>
      <c r="N847" s="6" t="str">
        <f t="shared" si="94"/>
        <v>Seniors</v>
      </c>
      <c r="O847" s="6" t="s">
        <v>42</v>
      </c>
      <c r="P847" s="6" t="s">
        <v>36</v>
      </c>
      <c r="Q847" t="s">
        <v>241</v>
      </c>
      <c r="R847" s="6" t="s">
        <v>28</v>
      </c>
      <c r="S847" s="6" t="s">
        <v>62</v>
      </c>
      <c r="T847" s="14">
        <v>3.7900000000000003E-2</v>
      </c>
      <c r="U847">
        <v>3.79</v>
      </c>
      <c r="V847" t="str">
        <f>IF(fin_table[[#This Row],[Interest Rate(%)]]&gt;4,"high","low")</f>
        <v>low</v>
      </c>
      <c r="W847" s="5">
        <v>31614.36</v>
      </c>
      <c r="X847" s="5">
        <f>fin_table[[#This Row],[Interest Rate]]*fin_table[[#This Row],[Loan Amount]]</f>
        <v>1198.184244</v>
      </c>
      <c r="Y847">
        <v>13</v>
      </c>
      <c r="Z847" s="3">
        <v>301</v>
      </c>
      <c r="AA847" s="3" t="str">
        <f t="shared" si="95"/>
        <v>Poor</v>
      </c>
      <c r="AB847" s="3" cm="1">
        <f t="array" ref="AB847">_xlfn.IFS(fin_table[[#This Row],[Transaction Status]]="Failed", 1, fin_table[[#This Row],[Transaction Status]]="Completed",0,fin_table[[#This Row],[Transaction Status]]="Pending",2)</f>
        <v>2</v>
      </c>
      <c r="AC847" s="3" t="str">
        <f>IF(fin_table[[#This Row],[Loan Defaulters]]=1,"Default", "Good")</f>
        <v>Good</v>
      </c>
      <c r="AD847" s="3">
        <f t="shared" si="96"/>
        <v>1</v>
      </c>
      <c r="AE847" s="4">
        <v>3015.43</v>
      </c>
      <c r="AF847" s="4" t="str">
        <f>IF(fin_table[[#This Row],[Monthly Income]]&lt;3000, "Low Income", IF(fin_table[[#This Row],[Monthly Income]]&lt;=5000, "Middle Income", "High Income"))</f>
        <v>Middle Income</v>
      </c>
      <c r="AG847" t="s">
        <v>30</v>
      </c>
      <c r="AH847" t="s">
        <v>3636</v>
      </c>
      <c r="AI847" t="str">
        <f t="shared" si="97"/>
        <v>Low-Risk</v>
      </c>
    </row>
    <row r="848" spans="1:35" x14ac:dyDescent="0.35">
      <c r="A848" t="s">
        <v>3088</v>
      </c>
      <c r="B848" t="s">
        <v>3089</v>
      </c>
      <c r="C848" t="s">
        <v>3090</v>
      </c>
      <c r="D848" s="1">
        <v>45032</v>
      </c>
      <c r="E848" s="1" t="str">
        <f t="shared" si="91"/>
        <v>16</v>
      </c>
      <c r="F848" s="1" t="str">
        <f t="shared" si="92"/>
        <v>Apr</v>
      </c>
      <c r="G848" s="6" t="s">
        <v>56</v>
      </c>
      <c r="H848" s="5">
        <v>1338.74</v>
      </c>
      <c r="I848" s="5" t="str">
        <f>IF(fin_table[[#This Row],[Account Balance]]&lt;20000,"Active", "Not Active")</f>
        <v>Active</v>
      </c>
      <c r="J848" s="5">
        <v>14608.24</v>
      </c>
      <c r="K848" s="5" t="str">
        <f t="shared" si="93"/>
        <v>Medium</v>
      </c>
      <c r="L848" s="6" t="s">
        <v>35</v>
      </c>
      <c r="M848">
        <v>34</v>
      </c>
      <c r="N848" s="6" t="str">
        <f t="shared" si="94"/>
        <v>Adults</v>
      </c>
      <c r="O848" s="6" t="s">
        <v>25</v>
      </c>
      <c r="P848" s="6" t="s">
        <v>36</v>
      </c>
      <c r="Q848" t="s">
        <v>2220</v>
      </c>
      <c r="R848" s="6" t="s">
        <v>52</v>
      </c>
      <c r="S848" s="6" t="s">
        <v>44</v>
      </c>
      <c r="T848" s="14">
        <v>1.66E-2</v>
      </c>
      <c r="U848">
        <v>1.66</v>
      </c>
      <c r="V848" t="str">
        <f>IF(fin_table[[#This Row],[Interest Rate(%)]]&gt;4,"high","low")</f>
        <v>low</v>
      </c>
      <c r="W848" s="5">
        <v>43623.92</v>
      </c>
      <c r="X848" s="5">
        <f>fin_table[[#This Row],[Interest Rate]]*fin_table[[#This Row],[Loan Amount]]</f>
        <v>724.15707199999997</v>
      </c>
      <c r="Y848">
        <v>13</v>
      </c>
      <c r="Z848" s="3">
        <v>418</v>
      </c>
      <c r="AA848" s="3" t="str">
        <f t="shared" si="95"/>
        <v>Poor</v>
      </c>
      <c r="AB848" s="3" cm="1">
        <f t="array" ref="AB848">_xlfn.IFS(fin_table[[#This Row],[Transaction Status]]="Failed", 1, fin_table[[#This Row],[Transaction Status]]="Completed",0,fin_table[[#This Row],[Transaction Status]]="Pending",2)</f>
        <v>0</v>
      </c>
      <c r="AC848" s="3" t="str">
        <f>IF(fin_table[[#This Row],[Loan Defaulters]]=1,"Default", "Good")</f>
        <v>Good</v>
      </c>
      <c r="AD848" s="3">
        <f t="shared" si="96"/>
        <v>1</v>
      </c>
      <c r="AE848" s="4">
        <v>7556.4</v>
      </c>
      <c r="AF848" s="4" t="str">
        <f>IF(fin_table[[#This Row],[Monthly Income]]&lt;3000, "Low Income", IF(fin_table[[#This Row],[Monthly Income]]&lt;=5000, "Middle Income", "High Income"))</f>
        <v>High Income</v>
      </c>
      <c r="AG848" t="s">
        <v>30</v>
      </c>
      <c r="AH848" t="s">
        <v>3636</v>
      </c>
      <c r="AI848" t="str">
        <f t="shared" si="97"/>
        <v>High-Risk</v>
      </c>
    </row>
    <row r="849" spans="1:35" x14ac:dyDescent="0.35">
      <c r="A849" t="s">
        <v>3091</v>
      </c>
      <c r="B849" t="s">
        <v>3092</v>
      </c>
      <c r="C849" t="s">
        <v>3093</v>
      </c>
      <c r="D849" s="1">
        <v>44893</v>
      </c>
      <c r="E849" s="1" t="str">
        <f t="shared" si="91"/>
        <v>28</v>
      </c>
      <c r="F849" s="1" t="str">
        <f t="shared" si="92"/>
        <v>Nov</v>
      </c>
      <c r="G849" s="6" t="s">
        <v>71</v>
      </c>
      <c r="H849" s="5">
        <v>8519.67</v>
      </c>
      <c r="I849" s="5" t="str">
        <f>IF(fin_table[[#This Row],[Account Balance]]&lt;20000,"Active", "Not Active")</f>
        <v>Active</v>
      </c>
      <c r="J849" s="5">
        <v>2760.58</v>
      </c>
      <c r="K849" s="5" t="str">
        <f t="shared" si="93"/>
        <v>Low</v>
      </c>
      <c r="L849" s="6" t="s">
        <v>100</v>
      </c>
      <c r="M849">
        <v>24</v>
      </c>
      <c r="N849" s="6" t="str">
        <f t="shared" si="94"/>
        <v>Young Adults</v>
      </c>
      <c r="O849" s="6" t="s">
        <v>42</v>
      </c>
      <c r="P849" s="6" t="s">
        <v>50</v>
      </c>
      <c r="Q849" t="s">
        <v>72</v>
      </c>
      <c r="R849" s="6" t="s">
        <v>28</v>
      </c>
      <c r="S849" s="6" t="s">
        <v>44</v>
      </c>
      <c r="T849" s="14">
        <v>1.5900000000000001E-2</v>
      </c>
      <c r="U849">
        <v>1.59</v>
      </c>
      <c r="V849" t="str">
        <f>IF(fin_table[[#This Row],[Interest Rate(%)]]&gt;4,"high","low")</f>
        <v>low</v>
      </c>
      <c r="W849" s="5">
        <v>26633.34</v>
      </c>
      <c r="X849" s="5">
        <f>fin_table[[#This Row],[Interest Rate]]*fin_table[[#This Row],[Loan Amount]]</f>
        <v>423.47010600000004</v>
      </c>
      <c r="Y849">
        <v>13</v>
      </c>
      <c r="Z849" s="3">
        <v>490</v>
      </c>
      <c r="AA849" s="3" t="str">
        <f t="shared" si="95"/>
        <v>Poor</v>
      </c>
      <c r="AB849" s="3" cm="1">
        <f t="array" ref="AB849">_xlfn.IFS(fin_table[[#This Row],[Transaction Status]]="Failed", 1, fin_table[[#This Row],[Transaction Status]]="Completed",0,fin_table[[#This Row],[Transaction Status]]="Pending",2)</f>
        <v>0</v>
      </c>
      <c r="AC849" s="3" t="str">
        <f>IF(fin_table[[#This Row],[Loan Defaulters]]=1,"Default", "Good")</f>
        <v>Good</v>
      </c>
      <c r="AD849" s="3">
        <f t="shared" si="96"/>
        <v>1</v>
      </c>
      <c r="AE849" s="4">
        <v>8921.18</v>
      </c>
      <c r="AF849" s="4" t="str">
        <f>IF(fin_table[[#This Row],[Monthly Income]]&lt;3000, "Low Income", IF(fin_table[[#This Row],[Monthly Income]]&lt;=5000, "Middle Income", "High Income"))</f>
        <v>High Income</v>
      </c>
      <c r="AG849" t="s">
        <v>63</v>
      </c>
      <c r="AH849" t="s">
        <v>3636</v>
      </c>
      <c r="AI849" t="str">
        <f t="shared" si="97"/>
        <v>Low-Risk</v>
      </c>
    </row>
    <row r="850" spans="1:35" x14ac:dyDescent="0.35">
      <c r="A850" t="s">
        <v>3094</v>
      </c>
      <c r="B850" t="s">
        <v>3095</v>
      </c>
      <c r="C850" t="s">
        <v>3096</v>
      </c>
      <c r="D850" s="1">
        <v>44597</v>
      </c>
      <c r="E850" s="1" t="str">
        <f t="shared" si="91"/>
        <v>05</v>
      </c>
      <c r="F850" s="1" t="str">
        <f t="shared" si="92"/>
        <v>Feb</v>
      </c>
      <c r="G850" s="6" t="s">
        <v>71</v>
      </c>
      <c r="H850" s="5">
        <v>3511.58</v>
      </c>
      <c r="I850" s="5" t="str">
        <f>IF(fin_table[[#This Row],[Account Balance]]&lt;20000,"Active", "Not Active")</f>
        <v>Not Active</v>
      </c>
      <c r="J850" s="5">
        <v>46418.9</v>
      </c>
      <c r="K850" s="5" t="str">
        <f t="shared" si="93"/>
        <v>Medium</v>
      </c>
      <c r="L850" s="6" t="s">
        <v>24</v>
      </c>
      <c r="M850">
        <v>30</v>
      </c>
      <c r="N850" s="6" t="str">
        <f t="shared" si="94"/>
        <v>Adults</v>
      </c>
      <c r="O850" s="6" t="s">
        <v>25</v>
      </c>
      <c r="P850" s="6" t="s">
        <v>50</v>
      </c>
      <c r="Q850" t="s">
        <v>3097</v>
      </c>
      <c r="R850" s="6" t="s">
        <v>38</v>
      </c>
      <c r="S850" s="6" t="s">
        <v>44</v>
      </c>
      <c r="T850" s="14">
        <v>2.8299999999999999E-2</v>
      </c>
      <c r="U850">
        <v>2.83</v>
      </c>
      <c r="V850" t="str">
        <f>IF(fin_table[[#This Row],[Interest Rate(%)]]&gt;4,"high","low")</f>
        <v>low</v>
      </c>
      <c r="W850" s="5">
        <v>26681.654999999999</v>
      </c>
      <c r="X850" s="5">
        <f>fin_table[[#This Row],[Interest Rate]]*fin_table[[#This Row],[Loan Amount]]</f>
        <v>755.09083649999991</v>
      </c>
      <c r="Y850">
        <v>12</v>
      </c>
      <c r="Z850" s="3">
        <v>302</v>
      </c>
      <c r="AA850" s="3" t="str">
        <f t="shared" si="95"/>
        <v>Poor</v>
      </c>
      <c r="AB850" s="3" cm="1">
        <f t="array" ref="AB850">_xlfn.IFS(fin_table[[#This Row],[Transaction Status]]="Failed", 1, fin_table[[#This Row],[Transaction Status]]="Completed",0,fin_table[[#This Row],[Transaction Status]]="Pending",2)</f>
        <v>0</v>
      </c>
      <c r="AC850" s="3" t="str">
        <f>IF(fin_table[[#This Row],[Loan Defaulters]]=1,"Default", "Good")</f>
        <v>Good</v>
      </c>
      <c r="AD850" s="3">
        <f t="shared" si="96"/>
        <v>1</v>
      </c>
      <c r="AE850" s="4">
        <v>13683.01</v>
      </c>
      <c r="AF850" s="4" t="str">
        <f>IF(fin_table[[#This Row],[Monthly Income]]&lt;3000, "Low Income", IF(fin_table[[#This Row],[Monthly Income]]&lt;=5000, "Middle Income", "High Income"))</f>
        <v>High Income</v>
      </c>
      <c r="AG850" t="s">
        <v>63</v>
      </c>
      <c r="AH850" t="s">
        <v>3635</v>
      </c>
      <c r="AI850" t="str">
        <f t="shared" si="97"/>
        <v>Low-Risk</v>
      </c>
    </row>
    <row r="851" spans="1:35" x14ac:dyDescent="0.35">
      <c r="A851" t="s">
        <v>3098</v>
      </c>
      <c r="B851" t="s">
        <v>3099</v>
      </c>
      <c r="C851" t="s">
        <v>3100</v>
      </c>
      <c r="D851" s="1">
        <v>44801</v>
      </c>
      <c r="E851" s="1" t="str">
        <f t="shared" si="91"/>
        <v>28</v>
      </c>
      <c r="F851" s="1" t="str">
        <f t="shared" si="92"/>
        <v>Aug</v>
      </c>
      <c r="G851" s="6" t="s">
        <v>23</v>
      </c>
      <c r="H851" s="5">
        <v>405.49</v>
      </c>
      <c r="I851" s="5" t="str">
        <f>IF(fin_table[[#This Row],[Account Balance]]&lt;20000,"Active", "Not Active")</f>
        <v>Active</v>
      </c>
      <c r="J851" s="5">
        <v>11471.21</v>
      </c>
      <c r="K851" s="5" t="str">
        <f t="shared" si="93"/>
        <v>Medium</v>
      </c>
      <c r="L851" s="6" t="s">
        <v>35</v>
      </c>
      <c r="M851">
        <v>19</v>
      </c>
      <c r="N851" s="6" t="str">
        <f t="shared" si="94"/>
        <v>Young Adults</v>
      </c>
      <c r="O851" s="6" t="s">
        <v>42</v>
      </c>
      <c r="P851" s="6" t="s">
        <v>26</v>
      </c>
      <c r="Q851" t="s">
        <v>2443</v>
      </c>
      <c r="R851" s="6" t="s">
        <v>38</v>
      </c>
      <c r="S851" s="6" t="s">
        <v>44</v>
      </c>
      <c r="T851" s="14">
        <v>2.5399999999999999E-2</v>
      </c>
      <c r="U851">
        <v>2.54</v>
      </c>
      <c r="V851" t="str">
        <f>IF(fin_table[[#This Row],[Interest Rate(%)]]&gt;4,"high","low")</f>
        <v>low</v>
      </c>
      <c r="W851" s="5">
        <v>26681.654999999999</v>
      </c>
      <c r="X851" s="5">
        <f>fin_table[[#This Row],[Interest Rate]]*fin_table[[#This Row],[Loan Amount]]</f>
        <v>677.71403699999996</v>
      </c>
      <c r="Y851">
        <v>3</v>
      </c>
      <c r="Z851" s="3">
        <v>786</v>
      </c>
      <c r="AA851" s="3" t="str">
        <f t="shared" si="95"/>
        <v>Very Good</v>
      </c>
      <c r="AB851" s="3" cm="1">
        <f t="array" ref="AB851">_xlfn.IFS(fin_table[[#This Row],[Transaction Status]]="Failed", 1, fin_table[[#This Row],[Transaction Status]]="Completed",0,fin_table[[#This Row],[Transaction Status]]="Pending",2)</f>
        <v>0</v>
      </c>
      <c r="AC851" s="3" t="str">
        <f>IF(fin_table[[#This Row],[Loan Defaulters]]=1,"Default", "Good")</f>
        <v>Good</v>
      </c>
      <c r="AD851" s="3">
        <f t="shared" si="96"/>
        <v>4</v>
      </c>
      <c r="AE851" s="4">
        <v>14970.05</v>
      </c>
      <c r="AF851" s="4" t="str">
        <f>IF(fin_table[[#This Row],[Monthly Income]]&lt;3000, "Low Income", IF(fin_table[[#This Row],[Monthly Income]]&lt;=5000, "Middle Income", "High Income"))</f>
        <v>High Income</v>
      </c>
      <c r="AG851" t="s">
        <v>45</v>
      </c>
      <c r="AH851" t="s">
        <v>3635</v>
      </c>
      <c r="AI851" t="str">
        <f t="shared" si="97"/>
        <v>Low-Risk</v>
      </c>
    </row>
    <row r="852" spans="1:35" x14ac:dyDescent="0.35">
      <c r="A852" t="s">
        <v>3101</v>
      </c>
      <c r="B852" t="s">
        <v>3102</v>
      </c>
      <c r="C852" t="s">
        <v>3103</v>
      </c>
      <c r="D852" s="1">
        <v>44667</v>
      </c>
      <c r="E852" s="1" t="str">
        <f t="shared" si="91"/>
        <v>16</v>
      </c>
      <c r="F852" s="1" t="str">
        <f t="shared" si="92"/>
        <v>Apr</v>
      </c>
      <c r="G852" s="6" t="s">
        <v>23</v>
      </c>
      <c r="H852" s="5">
        <v>613.76</v>
      </c>
      <c r="I852" s="5" t="str">
        <f>IF(fin_table[[#This Row],[Account Balance]]&lt;20000,"Active", "Not Active")</f>
        <v>Not Active</v>
      </c>
      <c r="J852" s="5">
        <v>21580.2</v>
      </c>
      <c r="K852" s="5" t="str">
        <f t="shared" si="93"/>
        <v>Medium</v>
      </c>
      <c r="L852" s="6" t="s">
        <v>35</v>
      </c>
      <c r="M852">
        <v>21</v>
      </c>
      <c r="N852" s="6" t="str">
        <f t="shared" si="94"/>
        <v>Young Adults</v>
      </c>
      <c r="O852" s="6" t="s">
        <v>42</v>
      </c>
      <c r="P852" s="6" t="s">
        <v>26</v>
      </c>
      <c r="Q852" t="s">
        <v>3104</v>
      </c>
      <c r="R852" s="6" t="s">
        <v>28</v>
      </c>
      <c r="S852" s="6" t="s">
        <v>62</v>
      </c>
      <c r="T852" s="14">
        <v>3.8600000000000002E-2</v>
      </c>
      <c r="U852">
        <v>3.86</v>
      </c>
      <c r="V852" t="str">
        <f>IF(fin_table[[#This Row],[Interest Rate(%)]]&gt;4,"high","low")</f>
        <v>low</v>
      </c>
      <c r="W852" s="5">
        <v>26681.654999999999</v>
      </c>
      <c r="X852" s="5">
        <f>fin_table[[#This Row],[Interest Rate]]*fin_table[[#This Row],[Loan Amount]]</f>
        <v>1029.911883</v>
      </c>
      <c r="Y852">
        <v>18</v>
      </c>
      <c r="Z852" s="3">
        <v>476</v>
      </c>
      <c r="AA852" s="3" t="str">
        <f t="shared" si="95"/>
        <v>Poor</v>
      </c>
      <c r="AB852" s="3" cm="1">
        <f t="array" ref="AB852">_xlfn.IFS(fin_table[[#This Row],[Transaction Status]]="Failed", 1, fin_table[[#This Row],[Transaction Status]]="Completed",0,fin_table[[#This Row],[Transaction Status]]="Pending",2)</f>
        <v>2</v>
      </c>
      <c r="AC852" s="3" t="str">
        <f>IF(fin_table[[#This Row],[Loan Defaulters]]=1,"Default", "Good")</f>
        <v>Good</v>
      </c>
      <c r="AD852" s="3">
        <f t="shared" si="96"/>
        <v>1</v>
      </c>
      <c r="AE852" s="4">
        <v>11794.05</v>
      </c>
      <c r="AF852" s="4" t="str">
        <f>IF(fin_table[[#This Row],[Monthly Income]]&lt;3000, "Low Income", IF(fin_table[[#This Row],[Monthly Income]]&lt;=5000, "Middle Income", "High Income"))</f>
        <v>High Income</v>
      </c>
      <c r="AG852" t="s">
        <v>30</v>
      </c>
      <c r="AH852" t="s">
        <v>3635</v>
      </c>
      <c r="AI852" t="str">
        <f t="shared" si="97"/>
        <v>Low-Risk</v>
      </c>
    </row>
    <row r="853" spans="1:35" x14ac:dyDescent="0.35">
      <c r="A853" t="s">
        <v>3105</v>
      </c>
      <c r="B853" t="s">
        <v>3106</v>
      </c>
      <c r="C853" t="s">
        <v>3107</v>
      </c>
      <c r="D853" s="1">
        <v>45137</v>
      </c>
      <c r="E853" s="1" t="str">
        <f t="shared" si="91"/>
        <v>30</v>
      </c>
      <c r="F853" s="1" t="str">
        <f t="shared" si="92"/>
        <v>Jul</v>
      </c>
      <c r="G853" s="6" t="s">
        <v>71</v>
      </c>
      <c r="H853" s="5">
        <v>1507.49</v>
      </c>
      <c r="I853" s="5" t="str">
        <f>IF(fin_table[[#This Row],[Account Balance]]&lt;20000,"Active", "Not Active")</f>
        <v>Active</v>
      </c>
      <c r="J853" s="5">
        <v>1474.66</v>
      </c>
      <c r="K853" s="5" t="str">
        <f t="shared" si="93"/>
        <v>Low</v>
      </c>
      <c r="L853" s="6" t="s">
        <v>35</v>
      </c>
      <c r="M853">
        <v>27</v>
      </c>
      <c r="N853" s="6" t="str">
        <f t="shared" si="94"/>
        <v>Adults</v>
      </c>
      <c r="O853" s="6" t="s">
        <v>42</v>
      </c>
      <c r="P853" s="6" t="s">
        <v>26</v>
      </c>
      <c r="Q853" t="s">
        <v>3108</v>
      </c>
      <c r="R853" s="6" t="s">
        <v>28</v>
      </c>
      <c r="S853" s="6" t="s">
        <v>29</v>
      </c>
      <c r="T853" s="14">
        <v>1.2800000000000001E-2</v>
      </c>
      <c r="U853">
        <v>1.28</v>
      </c>
      <c r="V853" t="str">
        <f>IF(fin_table[[#This Row],[Interest Rate(%)]]&gt;4,"high","low")</f>
        <v>low</v>
      </c>
      <c r="W853" s="5">
        <v>26681.654999999999</v>
      </c>
      <c r="X853" s="5">
        <f>fin_table[[#This Row],[Interest Rate]]*fin_table[[#This Row],[Loan Amount]]</f>
        <v>341.52518400000002</v>
      </c>
      <c r="Y853">
        <v>13</v>
      </c>
      <c r="Z853" s="3">
        <v>556</v>
      </c>
      <c r="AA853" s="3" t="str">
        <f t="shared" si="95"/>
        <v>Poor</v>
      </c>
      <c r="AB853" s="3" cm="1">
        <f t="array" ref="AB853">_xlfn.IFS(fin_table[[#This Row],[Transaction Status]]="Failed", 1, fin_table[[#This Row],[Transaction Status]]="Completed",0,fin_table[[#This Row],[Transaction Status]]="Pending",2)</f>
        <v>1</v>
      </c>
      <c r="AC853" s="3" t="str">
        <f>IF(fin_table[[#This Row],[Loan Defaulters]]=1,"Default", "Good")</f>
        <v>Default</v>
      </c>
      <c r="AD853" s="3">
        <f t="shared" si="96"/>
        <v>1</v>
      </c>
      <c r="AE853" s="4">
        <v>14620.28</v>
      </c>
      <c r="AF853" s="4" t="str">
        <f>IF(fin_table[[#This Row],[Monthly Income]]&lt;3000, "Low Income", IF(fin_table[[#This Row],[Monthly Income]]&lt;=5000, "Middle Income", "High Income"))</f>
        <v>High Income</v>
      </c>
      <c r="AG853" t="s">
        <v>30</v>
      </c>
      <c r="AH853" t="s">
        <v>3635</v>
      </c>
      <c r="AI853" t="str">
        <f t="shared" si="97"/>
        <v>Low-Risk</v>
      </c>
    </row>
    <row r="854" spans="1:35" x14ac:dyDescent="0.35">
      <c r="A854" t="s">
        <v>3109</v>
      </c>
      <c r="B854" t="s">
        <v>3110</v>
      </c>
      <c r="C854" t="s">
        <v>3111</v>
      </c>
      <c r="D854" s="1">
        <v>45119</v>
      </c>
      <c r="E854" s="1" t="str">
        <f t="shared" si="91"/>
        <v>12</v>
      </c>
      <c r="F854" s="1" t="str">
        <f t="shared" si="92"/>
        <v>Jul</v>
      </c>
      <c r="G854" s="6" t="s">
        <v>71</v>
      </c>
      <c r="H854" s="5">
        <v>2212.59</v>
      </c>
      <c r="I854" s="5" t="str">
        <f>IF(fin_table[[#This Row],[Account Balance]]&lt;20000,"Active", "Not Active")</f>
        <v>Not Active</v>
      </c>
      <c r="J854" s="5">
        <v>43039.8</v>
      </c>
      <c r="K854" s="5" t="str">
        <f t="shared" si="93"/>
        <v>Medium</v>
      </c>
      <c r="L854" s="6" t="s">
        <v>100</v>
      </c>
      <c r="M854">
        <v>56</v>
      </c>
      <c r="N854" s="6" t="str">
        <f t="shared" si="94"/>
        <v>Older Adults</v>
      </c>
      <c r="O854" s="6" t="s">
        <v>42</v>
      </c>
      <c r="P854" s="6" t="s">
        <v>36</v>
      </c>
      <c r="Q854" t="s">
        <v>732</v>
      </c>
      <c r="R854" s="6" t="s">
        <v>52</v>
      </c>
      <c r="S854" s="6" t="s">
        <v>44</v>
      </c>
      <c r="T854" s="14">
        <v>4.8899999999999999E-2</v>
      </c>
      <c r="U854">
        <v>4.8899999999999997</v>
      </c>
      <c r="V854" t="str">
        <f>IF(fin_table[[#This Row],[Interest Rate(%)]]&gt;4,"high","low")</f>
        <v>high</v>
      </c>
      <c r="W854" s="5">
        <v>46029.8</v>
      </c>
      <c r="X854" s="5">
        <f>fin_table[[#This Row],[Interest Rate]]*fin_table[[#This Row],[Loan Amount]]</f>
        <v>2250.8572199999999</v>
      </c>
      <c r="Y854">
        <v>6</v>
      </c>
      <c r="Z854" s="3">
        <v>833</v>
      </c>
      <c r="AA854" s="3" t="str">
        <f t="shared" si="95"/>
        <v>Excellent</v>
      </c>
      <c r="AB854" s="3" cm="1">
        <f t="array" ref="AB854">_xlfn.IFS(fin_table[[#This Row],[Transaction Status]]="Failed", 1, fin_table[[#This Row],[Transaction Status]]="Completed",0,fin_table[[#This Row],[Transaction Status]]="Pending",2)</f>
        <v>0</v>
      </c>
      <c r="AC854" s="3" t="str">
        <f>IF(fin_table[[#This Row],[Loan Defaulters]]=1,"Default", "Good")</f>
        <v>Good</v>
      </c>
      <c r="AD854" s="3">
        <f t="shared" si="96"/>
        <v>5</v>
      </c>
      <c r="AE854" s="4">
        <v>12232.31</v>
      </c>
      <c r="AF854" s="4" t="str">
        <f>IF(fin_table[[#This Row],[Monthly Income]]&lt;3000, "Low Income", IF(fin_table[[#This Row],[Monthly Income]]&lt;=5000, "Middle Income", "High Income"))</f>
        <v>High Income</v>
      </c>
      <c r="AG854" t="s">
        <v>63</v>
      </c>
      <c r="AH854" t="s">
        <v>3636</v>
      </c>
      <c r="AI854" t="str">
        <f t="shared" si="97"/>
        <v>Low-Risk</v>
      </c>
    </row>
    <row r="855" spans="1:35" x14ac:dyDescent="0.35">
      <c r="A855" t="s">
        <v>3112</v>
      </c>
      <c r="B855" t="s">
        <v>3113</v>
      </c>
      <c r="C855" t="s">
        <v>3114</v>
      </c>
      <c r="D855" s="1">
        <v>44740</v>
      </c>
      <c r="E855" s="1" t="str">
        <f t="shared" si="91"/>
        <v>28</v>
      </c>
      <c r="F855" s="1" t="str">
        <f t="shared" si="92"/>
        <v>Jun</v>
      </c>
      <c r="G855" s="6" t="s">
        <v>71</v>
      </c>
      <c r="H855" s="5">
        <v>6684.95</v>
      </c>
      <c r="I855" s="5" t="str">
        <f>IF(fin_table[[#This Row],[Account Balance]]&lt;20000,"Active", "Not Active")</f>
        <v>Not Active</v>
      </c>
      <c r="J855" s="5">
        <v>36826.71</v>
      </c>
      <c r="K855" s="5" t="str">
        <f t="shared" si="93"/>
        <v>Medium</v>
      </c>
      <c r="L855" s="6" t="s">
        <v>125</v>
      </c>
      <c r="M855">
        <v>41</v>
      </c>
      <c r="N855" s="6" t="str">
        <f t="shared" si="94"/>
        <v>Middle-Aged</v>
      </c>
      <c r="O855" s="6" t="s">
        <v>25</v>
      </c>
      <c r="P855" s="6" t="s">
        <v>26</v>
      </c>
      <c r="Q855" t="s">
        <v>465</v>
      </c>
      <c r="R855" s="6" t="s">
        <v>38</v>
      </c>
      <c r="S855" s="6" t="s">
        <v>62</v>
      </c>
      <c r="T855" s="14">
        <v>1.06E-2</v>
      </c>
      <c r="U855">
        <v>1.06</v>
      </c>
      <c r="V855" t="str">
        <f>IF(fin_table[[#This Row],[Interest Rate(%)]]&gt;4,"high","low")</f>
        <v>low</v>
      </c>
      <c r="W855" s="5">
        <v>47712.67</v>
      </c>
      <c r="X855" s="5">
        <f>fin_table[[#This Row],[Interest Rate]]*fin_table[[#This Row],[Loan Amount]]</f>
        <v>505.754302</v>
      </c>
      <c r="Y855">
        <v>7</v>
      </c>
      <c r="Z855" s="3">
        <v>776</v>
      </c>
      <c r="AA855" s="3" t="str">
        <f t="shared" si="95"/>
        <v>Very Good</v>
      </c>
      <c r="AB855" s="3" cm="1">
        <f t="array" ref="AB855">_xlfn.IFS(fin_table[[#This Row],[Transaction Status]]="Failed", 1, fin_table[[#This Row],[Transaction Status]]="Completed",0,fin_table[[#This Row],[Transaction Status]]="Pending",2)</f>
        <v>2</v>
      </c>
      <c r="AC855" s="3" t="str">
        <f>IF(fin_table[[#This Row],[Loan Defaulters]]=1,"Default", "Good")</f>
        <v>Good</v>
      </c>
      <c r="AD855" s="3">
        <f t="shared" si="96"/>
        <v>4</v>
      </c>
      <c r="AE855" s="4">
        <v>14521.63</v>
      </c>
      <c r="AF855" s="4" t="str">
        <f>IF(fin_table[[#This Row],[Monthly Income]]&lt;3000, "Low Income", IF(fin_table[[#This Row],[Monthly Income]]&lt;=5000, "Middle Income", "High Income"))</f>
        <v>High Income</v>
      </c>
      <c r="AG855" t="s">
        <v>30</v>
      </c>
      <c r="AH855" t="s">
        <v>3636</v>
      </c>
      <c r="AI855" t="str">
        <f t="shared" si="97"/>
        <v>Low-Risk</v>
      </c>
    </row>
    <row r="856" spans="1:35" x14ac:dyDescent="0.35">
      <c r="A856" t="s">
        <v>3115</v>
      </c>
      <c r="B856" t="s">
        <v>3116</v>
      </c>
      <c r="C856" t="s">
        <v>3117</v>
      </c>
      <c r="D856" s="1">
        <v>44630</v>
      </c>
      <c r="E856" s="1" t="str">
        <f t="shared" si="91"/>
        <v>10</v>
      </c>
      <c r="F856" s="1" t="str">
        <f t="shared" si="92"/>
        <v>Mar</v>
      </c>
      <c r="G856" s="6" t="s">
        <v>71</v>
      </c>
      <c r="H856" s="5">
        <v>1657.53</v>
      </c>
      <c r="I856" s="5" t="str">
        <f>IF(fin_table[[#This Row],[Account Balance]]&lt;20000,"Active", "Not Active")</f>
        <v>Not Active</v>
      </c>
      <c r="J856" s="5">
        <v>47391.05</v>
      </c>
      <c r="K856" s="5" t="str">
        <f t="shared" si="93"/>
        <v>Medium</v>
      </c>
      <c r="L856" s="6" t="s">
        <v>100</v>
      </c>
      <c r="M856">
        <v>34</v>
      </c>
      <c r="N856" s="6" t="str">
        <f t="shared" si="94"/>
        <v>Adults</v>
      </c>
      <c r="O856" s="6" t="s">
        <v>25</v>
      </c>
      <c r="P856" s="6" t="s">
        <v>36</v>
      </c>
      <c r="Q856" t="s">
        <v>516</v>
      </c>
      <c r="R856" s="6" t="s">
        <v>28</v>
      </c>
      <c r="S856" s="6" t="s">
        <v>44</v>
      </c>
      <c r="T856" s="14">
        <v>3.4099999999999998E-2</v>
      </c>
      <c r="U856">
        <v>3.41</v>
      </c>
      <c r="V856" t="str">
        <f>IF(fin_table[[#This Row],[Interest Rate(%)]]&gt;4,"high","low")</f>
        <v>low</v>
      </c>
      <c r="W856" s="5">
        <v>26681.654999999999</v>
      </c>
      <c r="X856" s="5">
        <f>fin_table[[#This Row],[Interest Rate]]*fin_table[[#This Row],[Loan Amount]]</f>
        <v>909.84443549999992</v>
      </c>
      <c r="Y856">
        <v>1</v>
      </c>
      <c r="Z856" s="3">
        <v>697</v>
      </c>
      <c r="AA856" s="3" t="str">
        <f t="shared" si="95"/>
        <v>Good</v>
      </c>
      <c r="AB856" s="3" cm="1">
        <f t="array" ref="AB856">_xlfn.IFS(fin_table[[#This Row],[Transaction Status]]="Failed", 1, fin_table[[#This Row],[Transaction Status]]="Completed",0,fin_table[[#This Row],[Transaction Status]]="Pending",2)</f>
        <v>0</v>
      </c>
      <c r="AC856" s="3" t="str">
        <f>IF(fin_table[[#This Row],[Loan Defaulters]]=1,"Default", "Good")</f>
        <v>Good</v>
      </c>
      <c r="AD856" s="3">
        <f t="shared" si="96"/>
        <v>3</v>
      </c>
      <c r="AE856" s="4">
        <v>11194.52</v>
      </c>
      <c r="AF856" s="4" t="str">
        <f>IF(fin_table[[#This Row],[Monthly Income]]&lt;3000, "Low Income", IF(fin_table[[#This Row],[Monthly Income]]&lt;=5000, "Middle Income", "High Income"))</f>
        <v>High Income</v>
      </c>
      <c r="AG856" t="s">
        <v>45</v>
      </c>
      <c r="AH856" t="s">
        <v>3635</v>
      </c>
      <c r="AI856" t="str">
        <f t="shared" si="97"/>
        <v>Low-Risk</v>
      </c>
    </row>
    <row r="857" spans="1:35" x14ac:dyDescent="0.35">
      <c r="A857" t="s">
        <v>3118</v>
      </c>
      <c r="B857" t="s">
        <v>3119</v>
      </c>
      <c r="C857" t="s">
        <v>3120</v>
      </c>
      <c r="D857" s="1">
        <v>45021</v>
      </c>
      <c r="E857" s="1" t="str">
        <f t="shared" si="91"/>
        <v>05</v>
      </c>
      <c r="F857" s="1" t="str">
        <f t="shared" si="92"/>
        <v>Apr</v>
      </c>
      <c r="G857" s="6" t="s">
        <v>34</v>
      </c>
      <c r="H857" s="5">
        <v>1276.8599999999999</v>
      </c>
      <c r="I857" s="5" t="str">
        <f>IF(fin_table[[#This Row],[Account Balance]]&lt;20000,"Active", "Not Active")</f>
        <v>Not Active</v>
      </c>
      <c r="J857" s="5">
        <v>39299.160000000003</v>
      </c>
      <c r="K857" s="5" t="str">
        <f t="shared" si="93"/>
        <v>Medium</v>
      </c>
      <c r="L857" s="6" t="s">
        <v>125</v>
      </c>
      <c r="M857">
        <v>69</v>
      </c>
      <c r="N857" s="6" t="str">
        <f t="shared" si="94"/>
        <v>Seniors</v>
      </c>
      <c r="O857" s="6" t="s">
        <v>25</v>
      </c>
      <c r="P857" s="6" t="s">
        <v>36</v>
      </c>
      <c r="Q857" t="s">
        <v>917</v>
      </c>
      <c r="R857" s="6" t="s">
        <v>38</v>
      </c>
      <c r="S857" s="6" t="s">
        <v>44</v>
      </c>
      <c r="T857" s="14">
        <v>3.2500000000000001E-2</v>
      </c>
      <c r="U857">
        <v>3.25</v>
      </c>
      <c r="V857" t="str">
        <f>IF(fin_table[[#This Row],[Interest Rate(%)]]&gt;4,"high","low")</f>
        <v>low</v>
      </c>
      <c r="W857" s="5">
        <v>26681.654999999999</v>
      </c>
      <c r="X857" s="5">
        <f>fin_table[[#This Row],[Interest Rate]]*fin_table[[#This Row],[Loan Amount]]</f>
        <v>867.15378750000002</v>
      </c>
      <c r="Y857">
        <v>6</v>
      </c>
      <c r="Z857" s="3">
        <v>795</v>
      </c>
      <c r="AA857" s="3" t="str">
        <f t="shared" si="95"/>
        <v>Very Good</v>
      </c>
      <c r="AB857" s="3" cm="1">
        <f t="array" ref="AB857">_xlfn.IFS(fin_table[[#This Row],[Transaction Status]]="Failed", 1, fin_table[[#This Row],[Transaction Status]]="Completed",0,fin_table[[#This Row],[Transaction Status]]="Pending",2)</f>
        <v>0</v>
      </c>
      <c r="AC857" s="3" t="str">
        <f>IF(fin_table[[#This Row],[Loan Defaulters]]=1,"Default", "Good")</f>
        <v>Good</v>
      </c>
      <c r="AD857" s="3">
        <f t="shared" si="96"/>
        <v>4</v>
      </c>
      <c r="AE857" s="4">
        <v>3036.92</v>
      </c>
      <c r="AF857" s="4" t="str">
        <f>IF(fin_table[[#This Row],[Monthly Income]]&lt;3000, "Low Income", IF(fin_table[[#This Row],[Monthly Income]]&lt;=5000, "Middle Income", "High Income"))</f>
        <v>Middle Income</v>
      </c>
      <c r="AG857" t="s">
        <v>30</v>
      </c>
      <c r="AH857" t="s">
        <v>3635</v>
      </c>
      <c r="AI857" t="str">
        <f t="shared" si="97"/>
        <v>Low-Risk</v>
      </c>
    </row>
    <row r="858" spans="1:35" x14ac:dyDescent="0.35">
      <c r="A858" t="s">
        <v>3121</v>
      </c>
      <c r="B858" t="s">
        <v>3122</v>
      </c>
      <c r="C858" t="s">
        <v>3123</v>
      </c>
      <c r="D858" s="1">
        <v>44835</v>
      </c>
      <c r="E858" s="1" t="str">
        <f t="shared" si="91"/>
        <v>01</v>
      </c>
      <c r="F858" s="1" t="str">
        <f t="shared" si="92"/>
        <v>Oct</v>
      </c>
      <c r="G858" s="6" t="s">
        <v>71</v>
      </c>
      <c r="H858" s="5">
        <v>7670.72</v>
      </c>
      <c r="I858" s="5" t="str">
        <f>IF(fin_table[[#This Row],[Account Balance]]&lt;20000,"Active", "Not Active")</f>
        <v>Active</v>
      </c>
      <c r="J858" s="5">
        <v>16371.62</v>
      </c>
      <c r="K858" s="5" t="str">
        <f t="shared" si="93"/>
        <v>Medium</v>
      </c>
      <c r="L858" s="6" t="s">
        <v>35</v>
      </c>
      <c r="M858">
        <v>23</v>
      </c>
      <c r="N858" s="6" t="str">
        <f t="shared" si="94"/>
        <v>Young Adults</v>
      </c>
      <c r="O858" s="6" t="s">
        <v>25</v>
      </c>
      <c r="P858" s="6" t="s">
        <v>36</v>
      </c>
      <c r="Q858" t="s">
        <v>3124</v>
      </c>
      <c r="R858" s="6" t="s">
        <v>38</v>
      </c>
      <c r="S858" s="6" t="s">
        <v>29</v>
      </c>
      <c r="T858" s="14">
        <v>1.54E-2</v>
      </c>
      <c r="U858">
        <v>1.54</v>
      </c>
      <c r="V858" t="str">
        <f>IF(fin_table[[#This Row],[Interest Rate(%)]]&gt;4,"high","low")</f>
        <v>low</v>
      </c>
      <c r="W858" s="5">
        <v>26681.654999999999</v>
      </c>
      <c r="X858" s="5">
        <f>fin_table[[#This Row],[Interest Rate]]*fin_table[[#This Row],[Loan Amount]]</f>
        <v>410.89748700000001</v>
      </c>
      <c r="Y858">
        <v>13</v>
      </c>
      <c r="Z858" s="3">
        <v>519</v>
      </c>
      <c r="AA858" s="3" t="str">
        <f t="shared" si="95"/>
        <v>Poor</v>
      </c>
      <c r="AB858" s="3" cm="1">
        <f t="array" ref="AB858">_xlfn.IFS(fin_table[[#This Row],[Transaction Status]]="Failed", 1, fin_table[[#This Row],[Transaction Status]]="Completed",0,fin_table[[#This Row],[Transaction Status]]="Pending",2)</f>
        <v>1</v>
      </c>
      <c r="AC858" s="3" t="str">
        <f>IF(fin_table[[#This Row],[Loan Defaulters]]=1,"Default", "Good")</f>
        <v>Default</v>
      </c>
      <c r="AD858" s="3">
        <f t="shared" si="96"/>
        <v>1</v>
      </c>
      <c r="AE858" s="4">
        <v>7224.96</v>
      </c>
      <c r="AF858" s="4" t="str">
        <f>IF(fin_table[[#This Row],[Monthly Income]]&lt;3000, "Low Income", IF(fin_table[[#This Row],[Monthly Income]]&lt;=5000, "Middle Income", "High Income"))</f>
        <v>High Income</v>
      </c>
      <c r="AG858" t="s">
        <v>63</v>
      </c>
      <c r="AH858" t="s">
        <v>3635</v>
      </c>
      <c r="AI858" t="str">
        <f t="shared" si="97"/>
        <v>Low-Risk</v>
      </c>
    </row>
    <row r="859" spans="1:35" x14ac:dyDescent="0.35">
      <c r="A859" t="s">
        <v>3125</v>
      </c>
      <c r="B859" t="s">
        <v>3126</v>
      </c>
      <c r="C859" t="s">
        <v>3127</v>
      </c>
      <c r="D859" s="1">
        <v>44878</v>
      </c>
      <c r="E859" s="1" t="str">
        <f t="shared" si="91"/>
        <v>13</v>
      </c>
      <c r="F859" s="1" t="str">
        <f t="shared" si="92"/>
        <v>Nov</v>
      </c>
      <c r="G859" s="6" t="s">
        <v>23</v>
      </c>
      <c r="H859" s="5">
        <v>6743.45</v>
      </c>
      <c r="I859" s="5" t="str">
        <f>IF(fin_table[[#This Row],[Account Balance]]&lt;20000,"Active", "Not Active")</f>
        <v>Active</v>
      </c>
      <c r="J859" s="5">
        <v>13145.79</v>
      </c>
      <c r="K859" s="5" t="str">
        <f t="shared" si="93"/>
        <v>Medium</v>
      </c>
      <c r="L859" s="6" t="s">
        <v>35</v>
      </c>
      <c r="M859">
        <v>36</v>
      </c>
      <c r="N859" s="6" t="str">
        <f t="shared" si="94"/>
        <v>Middle-Aged</v>
      </c>
      <c r="O859" s="6" t="s">
        <v>42</v>
      </c>
      <c r="P859" s="6" t="s">
        <v>36</v>
      </c>
      <c r="Q859" t="s">
        <v>3128</v>
      </c>
      <c r="R859" s="6" t="s">
        <v>52</v>
      </c>
      <c r="S859" s="6" t="s">
        <v>44</v>
      </c>
      <c r="T859" s="14">
        <v>1.6E-2</v>
      </c>
      <c r="U859">
        <v>1.6E-2</v>
      </c>
      <c r="V859" t="str">
        <f>IF(fin_table[[#This Row],[Interest Rate(%)]]&gt;4,"high","low")</f>
        <v>low</v>
      </c>
      <c r="W859" s="5">
        <v>26681.654999999999</v>
      </c>
      <c r="X859" s="5">
        <f>fin_table[[#This Row],[Interest Rate]]*fin_table[[#This Row],[Loan Amount]]</f>
        <v>426.90647999999999</v>
      </c>
      <c r="Y859">
        <v>13</v>
      </c>
      <c r="Z859" s="3">
        <v>472</v>
      </c>
      <c r="AA859" s="3" t="str">
        <f t="shared" si="95"/>
        <v>Poor</v>
      </c>
      <c r="AB859" s="3" cm="1">
        <f t="array" ref="AB859">_xlfn.IFS(fin_table[[#This Row],[Transaction Status]]="Failed", 1, fin_table[[#This Row],[Transaction Status]]="Completed",0,fin_table[[#This Row],[Transaction Status]]="Pending",2)</f>
        <v>0</v>
      </c>
      <c r="AC859" s="3" t="str">
        <f>IF(fin_table[[#This Row],[Loan Defaulters]]=1,"Default", "Good")</f>
        <v>Good</v>
      </c>
      <c r="AD859" s="3">
        <f t="shared" si="96"/>
        <v>1</v>
      </c>
      <c r="AE859" s="4">
        <v>10405.76</v>
      </c>
      <c r="AF859" s="4" t="str">
        <f>IF(fin_table[[#This Row],[Monthly Income]]&lt;3000, "Low Income", IF(fin_table[[#This Row],[Monthly Income]]&lt;=5000, "Middle Income", "High Income"))</f>
        <v>High Income</v>
      </c>
      <c r="AG859" t="s">
        <v>45</v>
      </c>
      <c r="AH859" t="s">
        <v>3635</v>
      </c>
      <c r="AI859" t="str">
        <f t="shared" si="97"/>
        <v>Low-Risk</v>
      </c>
    </row>
    <row r="860" spans="1:35" x14ac:dyDescent="0.35">
      <c r="A860" t="s">
        <v>3129</v>
      </c>
      <c r="B860" t="s">
        <v>3130</v>
      </c>
      <c r="C860" t="s">
        <v>3131</v>
      </c>
      <c r="D860" s="1">
        <v>44574</v>
      </c>
      <c r="E860" s="1" t="str">
        <f t="shared" si="91"/>
        <v>13</v>
      </c>
      <c r="F860" s="1" t="str">
        <f t="shared" si="92"/>
        <v>Jan</v>
      </c>
      <c r="G860" s="6" t="s">
        <v>56</v>
      </c>
      <c r="H860" s="5">
        <v>4409.71</v>
      </c>
      <c r="I860" s="5" t="str">
        <f>IF(fin_table[[#This Row],[Account Balance]]&lt;20000,"Active", "Not Active")</f>
        <v>Not Active</v>
      </c>
      <c r="J860" s="5">
        <v>35188.1</v>
      </c>
      <c r="K860" s="5" t="str">
        <f t="shared" si="93"/>
        <v>Medium</v>
      </c>
      <c r="L860" s="6" t="s">
        <v>24</v>
      </c>
      <c r="M860">
        <v>22</v>
      </c>
      <c r="N860" s="6" t="str">
        <f t="shared" si="94"/>
        <v>Young Adults</v>
      </c>
      <c r="O860" s="6" t="s">
        <v>42</v>
      </c>
      <c r="P860" s="6" t="s">
        <v>26</v>
      </c>
      <c r="Q860" t="s">
        <v>2035</v>
      </c>
      <c r="R860" s="6" t="s">
        <v>52</v>
      </c>
      <c r="S860" s="6" t="s">
        <v>44</v>
      </c>
      <c r="T860" s="14">
        <v>4.1700000000000001E-2</v>
      </c>
      <c r="U860">
        <v>4.17</v>
      </c>
      <c r="V860" t="str">
        <f>IF(fin_table[[#This Row],[Interest Rate(%)]]&gt;4,"high","low")</f>
        <v>high</v>
      </c>
      <c r="W860" s="5">
        <v>20753.21</v>
      </c>
      <c r="X860" s="5">
        <f>fin_table[[#This Row],[Interest Rate]]*fin_table[[#This Row],[Loan Amount]]</f>
        <v>865.40885700000001</v>
      </c>
      <c r="Y860">
        <v>22</v>
      </c>
      <c r="Z860" s="3">
        <v>689</v>
      </c>
      <c r="AA860" s="3" t="str">
        <f t="shared" si="95"/>
        <v>Good</v>
      </c>
      <c r="AB860" s="3" cm="1">
        <f t="array" ref="AB860">_xlfn.IFS(fin_table[[#This Row],[Transaction Status]]="Failed", 1, fin_table[[#This Row],[Transaction Status]]="Completed",0,fin_table[[#This Row],[Transaction Status]]="Pending",2)</f>
        <v>0</v>
      </c>
      <c r="AC860" s="3" t="str">
        <f>IF(fin_table[[#This Row],[Loan Defaulters]]=1,"Default", "Good")</f>
        <v>Good</v>
      </c>
      <c r="AD860" s="3">
        <f t="shared" si="96"/>
        <v>3</v>
      </c>
      <c r="AE860" s="4">
        <v>6559.34</v>
      </c>
      <c r="AF860" s="4" t="str">
        <f>IF(fin_table[[#This Row],[Monthly Income]]&lt;3000, "Low Income", IF(fin_table[[#This Row],[Monthly Income]]&lt;=5000, "Middle Income", "High Income"))</f>
        <v>High Income</v>
      </c>
      <c r="AG860" t="s">
        <v>45</v>
      </c>
      <c r="AH860" t="s">
        <v>3636</v>
      </c>
      <c r="AI860" t="str">
        <f t="shared" si="97"/>
        <v>Low-Risk</v>
      </c>
    </row>
    <row r="861" spans="1:35" x14ac:dyDescent="0.35">
      <c r="A861" t="s">
        <v>3132</v>
      </c>
      <c r="B861" t="s">
        <v>3133</v>
      </c>
      <c r="C861" t="s">
        <v>3134</v>
      </c>
      <c r="D861" s="1">
        <v>44588</v>
      </c>
      <c r="E861" s="1" t="str">
        <f t="shared" si="91"/>
        <v>27</v>
      </c>
      <c r="F861" s="1" t="str">
        <f t="shared" si="92"/>
        <v>Jan</v>
      </c>
      <c r="G861" s="6" t="s">
        <v>34</v>
      </c>
      <c r="H861" s="5">
        <v>5538.17</v>
      </c>
      <c r="I861" s="5" t="str">
        <f>IF(fin_table[[#This Row],[Account Balance]]&lt;20000,"Active", "Not Active")</f>
        <v>Active</v>
      </c>
      <c r="J861" s="5">
        <v>18841.53</v>
      </c>
      <c r="K861" s="5" t="str">
        <f t="shared" si="93"/>
        <v>Medium</v>
      </c>
      <c r="L861" s="6" t="s">
        <v>125</v>
      </c>
      <c r="M861">
        <v>49</v>
      </c>
      <c r="N861" s="6" t="str">
        <f t="shared" si="94"/>
        <v>Older Adults</v>
      </c>
      <c r="O861" s="6" t="s">
        <v>42</v>
      </c>
      <c r="P861" s="6" t="s">
        <v>50</v>
      </c>
      <c r="Q861" t="s">
        <v>3135</v>
      </c>
      <c r="R861" s="6" t="s">
        <v>52</v>
      </c>
      <c r="S861" s="6" t="s">
        <v>29</v>
      </c>
      <c r="T861" s="14">
        <v>4.5499999999999999E-2</v>
      </c>
      <c r="U861">
        <v>4.55</v>
      </c>
      <c r="V861" t="str">
        <f>IF(fin_table[[#This Row],[Interest Rate(%)]]&gt;4,"high","low")</f>
        <v>high</v>
      </c>
      <c r="W861" s="5">
        <v>26681.654999999999</v>
      </c>
      <c r="X861" s="5">
        <f>fin_table[[#This Row],[Interest Rate]]*fin_table[[#This Row],[Loan Amount]]</f>
        <v>1214.0153025</v>
      </c>
      <c r="Y861">
        <v>19</v>
      </c>
      <c r="Z861" s="3">
        <v>801</v>
      </c>
      <c r="AA861" s="3" t="str">
        <f t="shared" si="95"/>
        <v>Excellent</v>
      </c>
      <c r="AB861" s="3" cm="1">
        <f t="array" ref="AB861">_xlfn.IFS(fin_table[[#This Row],[Transaction Status]]="Failed", 1, fin_table[[#This Row],[Transaction Status]]="Completed",0,fin_table[[#This Row],[Transaction Status]]="Pending",2)</f>
        <v>1</v>
      </c>
      <c r="AC861" s="3" t="str">
        <f>IF(fin_table[[#This Row],[Loan Defaulters]]=1,"Default", "Good")</f>
        <v>Default</v>
      </c>
      <c r="AD861" s="3">
        <f t="shared" si="96"/>
        <v>5</v>
      </c>
      <c r="AE861" s="4">
        <v>5553.99</v>
      </c>
      <c r="AF861" s="4" t="str">
        <f>IF(fin_table[[#This Row],[Monthly Income]]&lt;3000, "Low Income", IF(fin_table[[#This Row],[Monthly Income]]&lt;=5000, "Middle Income", "High Income"))</f>
        <v>High Income</v>
      </c>
      <c r="AG861" t="s">
        <v>30</v>
      </c>
      <c r="AH861" t="s">
        <v>3635</v>
      </c>
      <c r="AI861" t="str">
        <f t="shared" si="97"/>
        <v>Low-Risk</v>
      </c>
    </row>
    <row r="862" spans="1:35" x14ac:dyDescent="0.35">
      <c r="A862" t="s">
        <v>3136</v>
      </c>
      <c r="B862" t="s">
        <v>3137</v>
      </c>
      <c r="C862" t="s">
        <v>3138</v>
      </c>
      <c r="D862" s="1">
        <v>44922</v>
      </c>
      <c r="E862" s="1" t="str">
        <f t="shared" si="91"/>
        <v>27</v>
      </c>
      <c r="F862" s="1" t="str">
        <f t="shared" si="92"/>
        <v>Dec</v>
      </c>
      <c r="G862" s="6" t="s">
        <v>71</v>
      </c>
      <c r="H862" s="5">
        <v>3188.64</v>
      </c>
      <c r="I862" s="5" t="str">
        <f>IF(fin_table[[#This Row],[Account Balance]]&lt;20000,"Active", "Not Active")</f>
        <v>Not Active</v>
      </c>
      <c r="J862" s="5">
        <v>28744.54</v>
      </c>
      <c r="K862" s="5" t="str">
        <f t="shared" si="93"/>
        <v>Medium</v>
      </c>
      <c r="L862" s="6" t="s">
        <v>35</v>
      </c>
      <c r="M862">
        <v>27</v>
      </c>
      <c r="N862" s="6" t="str">
        <f t="shared" si="94"/>
        <v>Adults</v>
      </c>
      <c r="O862" s="6" t="s">
        <v>25</v>
      </c>
      <c r="P862" s="6" t="s">
        <v>50</v>
      </c>
      <c r="Q862" t="s">
        <v>2273</v>
      </c>
      <c r="R862" s="6" t="s">
        <v>28</v>
      </c>
      <c r="S862" s="6" t="s">
        <v>29</v>
      </c>
      <c r="T862" s="14">
        <v>2.1299999999999999E-2</v>
      </c>
      <c r="U862">
        <v>2.13</v>
      </c>
      <c r="V862" t="str">
        <f>IF(fin_table[[#This Row],[Interest Rate(%)]]&gt;4,"high","low")</f>
        <v>low</v>
      </c>
      <c r="W862" s="5">
        <v>29611.23</v>
      </c>
      <c r="X862" s="5">
        <f>fin_table[[#This Row],[Interest Rate]]*fin_table[[#This Row],[Loan Amount]]</f>
        <v>630.719199</v>
      </c>
      <c r="Y862">
        <v>13</v>
      </c>
      <c r="Z862" s="3">
        <v>559</v>
      </c>
      <c r="AA862" s="3" t="str">
        <f t="shared" si="95"/>
        <v>Poor</v>
      </c>
      <c r="AB862" s="3" cm="1">
        <f t="array" ref="AB862">_xlfn.IFS(fin_table[[#This Row],[Transaction Status]]="Failed", 1, fin_table[[#This Row],[Transaction Status]]="Completed",0,fin_table[[#This Row],[Transaction Status]]="Pending",2)</f>
        <v>1</v>
      </c>
      <c r="AC862" s="3" t="str">
        <f>IF(fin_table[[#This Row],[Loan Defaulters]]=1,"Default", "Good")</f>
        <v>Default</v>
      </c>
      <c r="AD862" s="3">
        <f t="shared" si="96"/>
        <v>1</v>
      </c>
      <c r="AE862" s="4">
        <v>9506.19</v>
      </c>
      <c r="AF862" s="4" t="str">
        <f>IF(fin_table[[#This Row],[Monthly Income]]&lt;3000, "Low Income", IF(fin_table[[#This Row],[Monthly Income]]&lt;=5000, "Middle Income", "High Income"))</f>
        <v>High Income</v>
      </c>
      <c r="AG862" t="s">
        <v>45</v>
      </c>
      <c r="AH862" t="s">
        <v>3636</v>
      </c>
      <c r="AI862" t="str">
        <f t="shared" si="97"/>
        <v>Low-Risk</v>
      </c>
    </row>
    <row r="863" spans="1:35" x14ac:dyDescent="0.35">
      <c r="A863" t="s">
        <v>3139</v>
      </c>
      <c r="B863" t="s">
        <v>3140</v>
      </c>
      <c r="C863" t="s">
        <v>3141</v>
      </c>
      <c r="D863" s="1">
        <v>44655</v>
      </c>
      <c r="E863" s="1" t="str">
        <f t="shared" si="91"/>
        <v>04</v>
      </c>
      <c r="F863" s="1" t="str">
        <f t="shared" si="92"/>
        <v>Apr</v>
      </c>
      <c r="G863" s="6" t="s">
        <v>56</v>
      </c>
      <c r="H863" s="5">
        <v>4876.75</v>
      </c>
      <c r="I863" s="5" t="str">
        <f>IF(fin_table[[#This Row],[Account Balance]]&lt;20000,"Active", "Not Active")</f>
        <v>Active</v>
      </c>
      <c r="J863" s="5">
        <v>1306.6199999999999</v>
      </c>
      <c r="K863" s="5" t="str">
        <f t="shared" si="93"/>
        <v>Low</v>
      </c>
      <c r="L863" s="6" t="s">
        <v>49</v>
      </c>
      <c r="M863">
        <v>26</v>
      </c>
      <c r="N863" s="6" t="str">
        <f t="shared" si="94"/>
        <v>Adults</v>
      </c>
      <c r="O863" s="6" t="s">
        <v>42</v>
      </c>
      <c r="P863" s="6" t="s">
        <v>50</v>
      </c>
      <c r="Q863" t="s">
        <v>3142</v>
      </c>
      <c r="R863" s="6" t="s">
        <v>38</v>
      </c>
      <c r="S863" s="6" t="s">
        <v>29</v>
      </c>
      <c r="T863" s="14">
        <v>2.75E-2</v>
      </c>
      <c r="U863">
        <v>2.75</v>
      </c>
      <c r="V863" t="str">
        <f>IF(fin_table[[#This Row],[Interest Rate(%)]]&gt;4,"high","low")</f>
        <v>low</v>
      </c>
      <c r="W863" s="5">
        <v>26681.654999999999</v>
      </c>
      <c r="X863" s="5">
        <f>fin_table[[#This Row],[Interest Rate]]*fin_table[[#This Row],[Loan Amount]]</f>
        <v>733.74551250000002</v>
      </c>
      <c r="Y863">
        <v>13</v>
      </c>
      <c r="Z863" s="3">
        <v>430</v>
      </c>
      <c r="AA863" s="3" t="str">
        <f t="shared" si="95"/>
        <v>Poor</v>
      </c>
      <c r="AB863" s="3" cm="1">
        <f t="array" ref="AB863">_xlfn.IFS(fin_table[[#This Row],[Transaction Status]]="Failed", 1, fin_table[[#This Row],[Transaction Status]]="Completed",0,fin_table[[#This Row],[Transaction Status]]="Pending",2)</f>
        <v>1</v>
      </c>
      <c r="AC863" s="3" t="str">
        <f>IF(fin_table[[#This Row],[Loan Defaulters]]=1,"Default", "Good")</f>
        <v>Default</v>
      </c>
      <c r="AD863" s="3">
        <f t="shared" si="96"/>
        <v>1</v>
      </c>
      <c r="AE863" s="4">
        <v>14135.52</v>
      </c>
      <c r="AF863" s="4" t="str">
        <f>IF(fin_table[[#This Row],[Monthly Income]]&lt;3000, "Low Income", IF(fin_table[[#This Row],[Monthly Income]]&lt;=5000, "Middle Income", "High Income"))</f>
        <v>High Income</v>
      </c>
      <c r="AG863" t="s">
        <v>30</v>
      </c>
      <c r="AH863" t="s">
        <v>3635</v>
      </c>
      <c r="AI863" t="str">
        <f t="shared" si="97"/>
        <v>Low-Risk</v>
      </c>
    </row>
    <row r="864" spans="1:35" x14ac:dyDescent="0.35">
      <c r="A864" t="s">
        <v>3143</v>
      </c>
      <c r="B864" t="s">
        <v>3144</v>
      </c>
      <c r="C864" t="s">
        <v>3145</v>
      </c>
      <c r="D864" s="1">
        <v>44584</v>
      </c>
      <c r="E864" s="1" t="str">
        <f t="shared" si="91"/>
        <v>23</v>
      </c>
      <c r="F864" s="1" t="str">
        <f t="shared" si="92"/>
        <v>Jan</v>
      </c>
      <c r="G864" s="6" t="s">
        <v>34</v>
      </c>
      <c r="H864" s="5">
        <v>5116.0600000000004</v>
      </c>
      <c r="I864" s="5" t="str">
        <f>IF(fin_table[[#This Row],[Account Balance]]&lt;20000,"Active", "Not Active")</f>
        <v>Active</v>
      </c>
      <c r="J864" s="5">
        <v>4032.4</v>
      </c>
      <c r="K864" s="5" t="str">
        <f t="shared" si="93"/>
        <v>Low</v>
      </c>
      <c r="L864" s="6" t="s">
        <v>24</v>
      </c>
      <c r="M864">
        <v>44</v>
      </c>
      <c r="N864" s="6" t="str">
        <f t="shared" si="94"/>
        <v>Middle-Aged</v>
      </c>
      <c r="O864" s="6" t="s">
        <v>25</v>
      </c>
      <c r="P864" s="6" t="s">
        <v>26</v>
      </c>
      <c r="Q864" t="s">
        <v>773</v>
      </c>
      <c r="R864" s="6" t="s">
        <v>28</v>
      </c>
      <c r="S864" s="6" t="s">
        <v>29</v>
      </c>
      <c r="T864" s="14">
        <v>2.4199999999999999E-2</v>
      </c>
      <c r="U864">
        <v>2.42</v>
      </c>
      <c r="V864" t="str">
        <f>IF(fin_table[[#This Row],[Interest Rate(%)]]&gt;4,"high","low")</f>
        <v>low</v>
      </c>
      <c r="W864" s="5">
        <v>26681.654999999999</v>
      </c>
      <c r="X864" s="5">
        <f>fin_table[[#This Row],[Interest Rate]]*fin_table[[#This Row],[Loan Amount]]</f>
        <v>645.6960509999999</v>
      </c>
      <c r="Y864">
        <v>9</v>
      </c>
      <c r="Z864" s="3">
        <v>412</v>
      </c>
      <c r="AA864" s="3" t="str">
        <f t="shared" si="95"/>
        <v>Poor</v>
      </c>
      <c r="AB864" s="3" cm="1">
        <f t="array" ref="AB864">_xlfn.IFS(fin_table[[#This Row],[Transaction Status]]="Failed", 1, fin_table[[#This Row],[Transaction Status]]="Completed",0,fin_table[[#This Row],[Transaction Status]]="Pending",2)</f>
        <v>1</v>
      </c>
      <c r="AC864" s="3" t="str">
        <f>IF(fin_table[[#This Row],[Loan Defaulters]]=1,"Default", "Good")</f>
        <v>Default</v>
      </c>
      <c r="AD864" s="3">
        <f t="shared" si="96"/>
        <v>1</v>
      </c>
      <c r="AE864" s="4">
        <v>2454.7600000000002</v>
      </c>
      <c r="AF864" s="4" t="str">
        <f>IF(fin_table[[#This Row],[Monthly Income]]&lt;3000, "Low Income", IF(fin_table[[#This Row],[Monthly Income]]&lt;=5000, "Middle Income", "High Income"))</f>
        <v>Low Income</v>
      </c>
      <c r="AG864" t="s">
        <v>30</v>
      </c>
      <c r="AH864" t="s">
        <v>3635</v>
      </c>
      <c r="AI864" t="str">
        <f t="shared" si="97"/>
        <v>Low-Risk</v>
      </c>
    </row>
    <row r="865" spans="1:35" x14ac:dyDescent="0.35">
      <c r="A865" t="s">
        <v>3146</v>
      </c>
      <c r="B865" t="s">
        <v>3147</v>
      </c>
      <c r="C865" t="s">
        <v>3148</v>
      </c>
      <c r="D865" s="1">
        <v>45156</v>
      </c>
      <c r="E865" s="1" t="str">
        <f t="shared" si="91"/>
        <v>18</v>
      </c>
      <c r="F865" s="1" t="str">
        <f t="shared" si="92"/>
        <v>Aug</v>
      </c>
      <c r="G865" s="6" t="s">
        <v>56</v>
      </c>
      <c r="H865" s="5">
        <v>3933.65</v>
      </c>
      <c r="I865" s="5" t="str">
        <f>IF(fin_table[[#This Row],[Account Balance]]&lt;20000,"Active", "Not Active")</f>
        <v>Not Active</v>
      </c>
      <c r="J865" s="5">
        <v>27233.03</v>
      </c>
      <c r="K865" s="5" t="str">
        <f t="shared" si="93"/>
        <v>Medium</v>
      </c>
      <c r="L865" s="6" t="s">
        <v>100</v>
      </c>
      <c r="M865">
        <v>30</v>
      </c>
      <c r="N865" s="6" t="str">
        <f t="shared" si="94"/>
        <v>Adults</v>
      </c>
      <c r="O865" s="6" t="s">
        <v>42</v>
      </c>
      <c r="P865" s="6" t="s">
        <v>50</v>
      </c>
      <c r="Q865" t="s">
        <v>3149</v>
      </c>
      <c r="R865" s="6" t="s">
        <v>28</v>
      </c>
      <c r="S865" s="6" t="s">
        <v>62</v>
      </c>
      <c r="T865" s="14">
        <v>1.29E-2</v>
      </c>
      <c r="U865">
        <v>1.29</v>
      </c>
      <c r="V865" t="str">
        <f>IF(fin_table[[#This Row],[Interest Rate(%)]]&gt;4,"high","low")</f>
        <v>low</v>
      </c>
      <c r="W865" s="5">
        <v>26681.654999999999</v>
      </c>
      <c r="X865" s="5">
        <f>fin_table[[#This Row],[Interest Rate]]*fin_table[[#This Row],[Loan Amount]]</f>
        <v>344.19334950000001</v>
      </c>
      <c r="Y865">
        <v>13</v>
      </c>
      <c r="Z865" s="3">
        <v>319</v>
      </c>
      <c r="AA865" s="3" t="str">
        <f t="shared" si="95"/>
        <v>Poor</v>
      </c>
      <c r="AB865" s="3" cm="1">
        <f t="array" ref="AB865">_xlfn.IFS(fin_table[[#This Row],[Transaction Status]]="Failed", 1, fin_table[[#This Row],[Transaction Status]]="Completed",0,fin_table[[#This Row],[Transaction Status]]="Pending",2)</f>
        <v>2</v>
      </c>
      <c r="AC865" s="3" t="str">
        <f>IF(fin_table[[#This Row],[Loan Defaulters]]=1,"Default", "Good")</f>
        <v>Good</v>
      </c>
      <c r="AD865" s="3">
        <f t="shared" si="96"/>
        <v>1</v>
      </c>
      <c r="AE865" s="4">
        <v>12000.01</v>
      </c>
      <c r="AF865" s="4" t="str">
        <f>IF(fin_table[[#This Row],[Monthly Income]]&lt;3000, "Low Income", IF(fin_table[[#This Row],[Monthly Income]]&lt;=5000, "Middle Income", "High Income"))</f>
        <v>High Income</v>
      </c>
      <c r="AG865" t="s">
        <v>63</v>
      </c>
      <c r="AH865" t="s">
        <v>3635</v>
      </c>
      <c r="AI865" t="str">
        <f t="shared" si="97"/>
        <v>Low-Risk</v>
      </c>
    </row>
    <row r="866" spans="1:35" x14ac:dyDescent="0.35">
      <c r="A866" t="s">
        <v>3150</v>
      </c>
      <c r="B866" t="s">
        <v>3151</v>
      </c>
      <c r="C866" t="s">
        <v>3152</v>
      </c>
      <c r="D866" s="1">
        <v>44627</v>
      </c>
      <c r="E866" s="1" t="str">
        <f t="shared" si="91"/>
        <v>07</v>
      </c>
      <c r="F866" s="1" t="str">
        <f t="shared" si="92"/>
        <v>Mar</v>
      </c>
      <c r="G866" s="6" t="s">
        <v>71</v>
      </c>
      <c r="H866" s="5">
        <v>9075.06</v>
      </c>
      <c r="I866" s="5" t="str">
        <f>IF(fin_table[[#This Row],[Account Balance]]&lt;20000,"Active", "Not Active")</f>
        <v>Not Active</v>
      </c>
      <c r="J866" s="5">
        <v>28737.51</v>
      </c>
      <c r="K866" s="5" t="str">
        <f t="shared" si="93"/>
        <v>Medium</v>
      </c>
      <c r="L866" s="6" t="s">
        <v>24</v>
      </c>
      <c r="M866">
        <v>36</v>
      </c>
      <c r="N866" s="6" t="str">
        <f t="shared" si="94"/>
        <v>Middle-Aged</v>
      </c>
      <c r="O866" s="6" t="s">
        <v>42</v>
      </c>
      <c r="P866" s="6" t="s">
        <v>26</v>
      </c>
      <c r="Q866" t="s">
        <v>1365</v>
      </c>
      <c r="R866" s="6" t="s">
        <v>52</v>
      </c>
      <c r="S866" s="6" t="s">
        <v>62</v>
      </c>
      <c r="T866" s="14">
        <v>3.6900000000000002E-2</v>
      </c>
      <c r="U866">
        <v>3.69</v>
      </c>
      <c r="V866" t="str">
        <f>IF(fin_table[[#This Row],[Interest Rate(%)]]&gt;4,"high","low")</f>
        <v>low</v>
      </c>
      <c r="W866" s="5">
        <v>46658.33</v>
      </c>
      <c r="X866" s="5">
        <f>fin_table[[#This Row],[Interest Rate]]*fin_table[[#This Row],[Loan Amount]]</f>
        <v>1721.6923770000001</v>
      </c>
      <c r="Y866">
        <v>13</v>
      </c>
      <c r="Z866" s="3">
        <v>514</v>
      </c>
      <c r="AA866" s="3" t="str">
        <f t="shared" si="95"/>
        <v>Poor</v>
      </c>
      <c r="AB866" s="3" cm="1">
        <f t="array" ref="AB866">_xlfn.IFS(fin_table[[#This Row],[Transaction Status]]="Failed", 1, fin_table[[#This Row],[Transaction Status]]="Completed",0,fin_table[[#This Row],[Transaction Status]]="Pending",2)</f>
        <v>2</v>
      </c>
      <c r="AC866" s="3" t="str">
        <f>IF(fin_table[[#This Row],[Loan Defaulters]]=1,"Default", "Good")</f>
        <v>Good</v>
      </c>
      <c r="AD866" s="3">
        <f t="shared" si="96"/>
        <v>1</v>
      </c>
      <c r="AE866" s="4">
        <v>11395.45</v>
      </c>
      <c r="AF866" s="4" t="str">
        <f>IF(fin_table[[#This Row],[Monthly Income]]&lt;3000, "Low Income", IF(fin_table[[#This Row],[Monthly Income]]&lt;=5000, "Middle Income", "High Income"))</f>
        <v>High Income</v>
      </c>
      <c r="AG866" t="s">
        <v>45</v>
      </c>
      <c r="AH866" t="s">
        <v>3636</v>
      </c>
      <c r="AI866" t="str">
        <f t="shared" si="97"/>
        <v>High-Risk</v>
      </c>
    </row>
    <row r="867" spans="1:35" x14ac:dyDescent="0.35">
      <c r="A867" t="s">
        <v>3153</v>
      </c>
      <c r="B867" t="s">
        <v>3154</v>
      </c>
      <c r="C867" t="s">
        <v>3155</v>
      </c>
      <c r="D867" s="1">
        <v>44737</v>
      </c>
      <c r="E867" s="1" t="str">
        <f t="shared" si="91"/>
        <v>25</v>
      </c>
      <c r="F867" s="1" t="str">
        <f t="shared" si="92"/>
        <v>Jun</v>
      </c>
      <c r="G867" s="6" t="s">
        <v>71</v>
      </c>
      <c r="H867" s="5">
        <v>259.01</v>
      </c>
      <c r="I867" s="5" t="str">
        <f>IF(fin_table[[#This Row],[Account Balance]]&lt;20000,"Active", "Not Active")</f>
        <v>Not Active</v>
      </c>
      <c r="J867" s="5">
        <v>37821.19</v>
      </c>
      <c r="K867" s="5" t="str">
        <f t="shared" si="93"/>
        <v>Medium</v>
      </c>
      <c r="L867" s="6" t="s">
        <v>49</v>
      </c>
      <c r="M867">
        <v>38</v>
      </c>
      <c r="N867" s="6" t="str">
        <f t="shared" si="94"/>
        <v>Middle-Aged</v>
      </c>
      <c r="O867" s="6" t="s">
        <v>42</v>
      </c>
      <c r="P867" s="6" t="s">
        <v>26</v>
      </c>
      <c r="Q867" t="s">
        <v>725</v>
      </c>
      <c r="R867" s="6" t="s">
        <v>38</v>
      </c>
      <c r="S867" s="6" t="s">
        <v>62</v>
      </c>
      <c r="T867" s="14">
        <v>4.2999999999999997E-2</v>
      </c>
      <c r="U867">
        <v>4.2999999999999997E-2</v>
      </c>
      <c r="V867" t="str">
        <f>IF(fin_table[[#This Row],[Interest Rate(%)]]&gt;4,"high","low")</f>
        <v>low</v>
      </c>
      <c r="W867" s="5">
        <v>26681.654999999999</v>
      </c>
      <c r="X867" s="5">
        <f>fin_table[[#This Row],[Interest Rate]]*fin_table[[#This Row],[Loan Amount]]</f>
        <v>1147.3111649999998</v>
      </c>
      <c r="Y867">
        <v>12</v>
      </c>
      <c r="Z867" s="3">
        <v>609</v>
      </c>
      <c r="AA867" s="3" t="str">
        <f t="shared" si="95"/>
        <v>Fair</v>
      </c>
      <c r="AB867" s="3" cm="1">
        <f t="array" ref="AB867">_xlfn.IFS(fin_table[[#This Row],[Transaction Status]]="Failed", 1, fin_table[[#This Row],[Transaction Status]]="Completed",0,fin_table[[#This Row],[Transaction Status]]="Pending",2)</f>
        <v>2</v>
      </c>
      <c r="AC867" s="3" t="str">
        <f>IF(fin_table[[#This Row],[Loan Defaulters]]=1,"Default", "Good")</f>
        <v>Good</v>
      </c>
      <c r="AD867" s="3">
        <f t="shared" si="96"/>
        <v>2</v>
      </c>
      <c r="AE867" s="4">
        <v>14531.39</v>
      </c>
      <c r="AF867" s="4" t="str">
        <f>IF(fin_table[[#This Row],[Monthly Income]]&lt;3000, "Low Income", IF(fin_table[[#This Row],[Monthly Income]]&lt;=5000, "Middle Income", "High Income"))</f>
        <v>High Income</v>
      </c>
      <c r="AG867" t="s">
        <v>30</v>
      </c>
      <c r="AH867" t="s">
        <v>3635</v>
      </c>
      <c r="AI867" t="str">
        <f t="shared" si="97"/>
        <v>Low-Risk</v>
      </c>
    </row>
    <row r="868" spans="1:35" x14ac:dyDescent="0.35">
      <c r="A868" t="s">
        <v>3156</v>
      </c>
      <c r="B868" t="s">
        <v>3157</v>
      </c>
      <c r="C868" t="s">
        <v>3158</v>
      </c>
      <c r="D868" s="1">
        <v>44830</v>
      </c>
      <c r="E868" s="1" t="str">
        <f t="shared" si="91"/>
        <v>26</v>
      </c>
      <c r="F868" s="1" t="str">
        <f t="shared" si="92"/>
        <v>Sep</v>
      </c>
      <c r="G868" s="6" t="s">
        <v>23</v>
      </c>
      <c r="H868" s="5">
        <v>7843.5</v>
      </c>
      <c r="I868" s="5" t="str">
        <f>IF(fin_table[[#This Row],[Account Balance]]&lt;20000,"Active", "Not Active")</f>
        <v>Active</v>
      </c>
      <c r="J868" s="5">
        <v>7466.3</v>
      </c>
      <c r="K868" s="5" t="str">
        <f t="shared" si="93"/>
        <v>Low</v>
      </c>
      <c r="L868" s="6" t="s">
        <v>125</v>
      </c>
      <c r="M868">
        <v>41</v>
      </c>
      <c r="N868" s="6" t="str">
        <f t="shared" si="94"/>
        <v>Middle-Aged</v>
      </c>
      <c r="O868" s="6" t="s">
        <v>42</v>
      </c>
      <c r="P868" s="6" t="s">
        <v>26</v>
      </c>
      <c r="Q868" t="s">
        <v>3159</v>
      </c>
      <c r="R868" s="6" t="s">
        <v>38</v>
      </c>
      <c r="S868" s="6" t="s">
        <v>44</v>
      </c>
      <c r="T868" s="14">
        <v>2.2200000000000001E-2</v>
      </c>
      <c r="U868">
        <v>2.2200000000000002</v>
      </c>
      <c r="V868" t="str">
        <f>IF(fin_table[[#This Row],[Interest Rate(%)]]&gt;4,"high","low")</f>
        <v>low</v>
      </c>
      <c r="W868" s="5">
        <v>23348.31</v>
      </c>
      <c r="X868" s="5">
        <f>fin_table[[#This Row],[Interest Rate]]*fin_table[[#This Row],[Loan Amount]]</f>
        <v>518.33248200000003</v>
      </c>
      <c r="Y868">
        <v>13</v>
      </c>
      <c r="Z868" s="3">
        <v>550</v>
      </c>
      <c r="AA868" s="3" t="str">
        <f t="shared" si="95"/>
        <v>Poor</v>
      </c>
      <c r="AB868" s="3" cm="1">
        <f t="array" ref="AB868">_xlfn.IFS(fin_table[[#This Row],[Transaction Status]]="Failed", 1, fin_table[[#This Row],[Transaction Status]]="Completed",0,fin_table[[#This Row],[Transaction Status]]="Pending",2)</f>
        <v>0</v>
      </c>
      <c r="AC868" s="3" t="str">
        <f>IF(fin_table[[#This Row],[Loan Defaulters]]=1,"Default", "Good")</f>
        <v>Good</v>
      </c>
      <c r="AD868" s="3">
        <f t="shared" si="96"/>
        <v>1</v>
      </c>
      <c r="AE868" s="4">
        <v>14099.25</v>
      </c>
      <c r="AF868" s="4" t="str">
        <f>IF(fin_table[[#This Row],[Monthly Income]]&lt;3000, "Low Income", IF(fin_table[[#This Row],[Monthly Income]]&lt;=5000, "Middle Income", "High Income"))</f>
        <v>High Income</v>
      </c>
      <c r="AG868" t="s">
        <v>30</v>
      </c>
      <c r="AH868" t="s">
        <v>3636</v>
      </c>
      <c r="AI868" t="str">
        <f t="shared" si="97"/>
        <v>Low-Risk</v>
      </c>
    </row>
    <row r="869" spans="1:35" x14ac:dyDescent="0.35">
      <c r="A869" t="s">
        <v>3160</v>
      </c>
      <c r="B869" t="s">
        <v>3161</v>
      </c>
      <c r="C869" t="s">
        <v>3162</v>
      </c>
      <c r="D869" s="1">
        <v>44837</v>
      </c>
      <c r="E869" s="1" t="str">
        <f t="shared" si="91"/>
        <v>03</v>
      </c>
      <c r="F869" s="1" t="str">
        <f t="shared" si="92"/>
        <v>Oct</v>
      </c>
      <c r="G869" s="6" t="s">
        <v>71</v>
      </c>
      <c r="H869" s="5">
        <v>1331.39</v>
      </c>
      <c r="I869" s="5" t="str">
        <f>IF(fin_table[[#This Row],[Account Balance]]&lt;20000,"Active", "Not Active")</f>
        <v>Not Active</v>
      </c>
      <c r="J869" s="5">
        <v>26145.97</v>
      </c>
      <c r="K869" s="5" t="str">
        <f t="shared" si="93"/>
        <v>Medium</v>
      </c>
      <c r="L869" s="6" t="s">
        <v>100</v>
      </c>
      <c r="M869">
        <v>55</v>
      </c>
      <c r="N869" s="6" t="str">
        <f t="shared" si="94"/>
        <v>Older Adults</v>
      </c>
      <c r="O869" s="6" t="s">
        <v>42</v>
      </c>
      <c r="P869" s="6" t="s">
        <v>50</v>
      </c>
      <c r="Q869" t="s">
        <v>276</v>
      </c>
      <c r="R869" s="6" t="s">
        <v>52</v>
      </c>
      <c r="S869" s="6" t="s">
        <v>29</v>
      </c>
      <c r="T869" s="14">
        <v>4.9599999999999998E-2</v>
      </c>
      <c r="U869">
        <v>4.96</v>
      </c>
      <c r="V869" t="str">
        <f>IF(fin_table[[#This Row],[Interest Rate(%)]]&gt;4,"high","low")</f>
        <v>high</v>
      </c>
      <c r="W869" s="5">
        <v>42396.63</v>
      </c>
      <c r="X869" s="5">
        <f>fin_table[[#This Row],[Interest Rate]]*fin_table[[#This Row],[Loan Amount]]</f>
        <v>2102.872848</v>
      </c>
      <c r="Y869">
        <v>13</v>
      </c>
      <c r="Z869" s="3">
        <v>787</v>
      </c>
      <c r="AA869" s="3" t="str">
        <f t="shared" si="95"/>
        <v>Very Good</v>
      </c>
      <c r="AB869" s="3" cm="1">
        <f t="array" ref="AB869">_xlfn.IFS(fin_table[[#This Row],[Transaction Status]]="Failed", 1, fin_table[[#This Row],[Transaction Status]]="Completed",0,fin_table[[#This Row],[Transaction Status]]="Pending",2)</f>
        <v>1</v>
      </c>
      <c r="AC869" s="3" t="str">
        <f>IF(fin_table[[#This Row],[Loan Defaulters]]=1,"Default", "Good")</f>
        <v>Default</v>
      </c>
      <c r="AD869" s="3">
        <f t="shared" si="96"/>
        <v>4</v>
      </c>
      <c r="AE869" s="4">
        <v>11909.02</v>
      </c>
      <c r="AF869" s="4" t="str">
        <f>IF(fin_table[[#This Row],[Monthly Income]]&lt;3000, "Low Income", IF(fin_table[[#This Row],[Monthly Income]]&lt;=5000, "Middle Income", "High Income"))</f>
        <v>High Income</v>
      </c>
      <c r="AG869" t="s">
        <v>30</v>
      </c>
      <c r="AH869" t="s">
        <v>3636</v>
      </c>
      <c r="AI869" t="str">
        <f t="shared" si="97"/>
        <v>Low-Risk</v>
      </c>
    </row>
    <row r="870" spans="1:35" x14ac:dyDescent="0.35">
      <c r="A870" t="s">
        <v>3163</v>
      </c>
      <c r="B870" t="s">
        <v>3164</v>
      </c>
      <c r="C870" t="s">
        <v>3165</v>
      </c>
      <c r="D870" s="1">
        <v>44668</v>
      </c>
      <c r="E870" s="1" t="str">
        <f t="shared" si="91"/>
        <v>17</v>
      </c>
      <c r="F870" s="1" t="str">
        <f t="shared" si="92"/>
        <v>Apr</v>
      </c>
      <c r="G870" s="6" t="s">
        <v>71</v>
      </c>
      <c r="H870" s="5">
        <v>7995.72</v>
      </c>
      <c r="I870" s="5" t="str">
        <f>IF(fin_table[[#This Row],[Account Balance]]&lt;20000,"Active", "Not Active")</f>
        <v>Active</v>
      </c>
      <c r="J870" s="5">
        <v>10527.93</v>
      </c>
      <c r="K870" s="5" t="str">
        <f t="shared" si="93"/>
        <v>Medium</v>
      </c>
      <c r="L870" s="6" t="s">
        <v>100</v>
      </c>
      <c r="M870">
        <v>21</v>
      </c>
      <c r="N870" s="6" t="str">
        <f t="shared" si="94"/>
        <v>Young Adults</v>
      </c>
      <c r="O870" s="6" t="s">
        <v>25</v>
      </c>
      <c r="P870" s="6" t="s">
        <v>50</v>
      </c>
      <c r="Q870" t="s">
        <v>101</v>
      </c>
      <c r="R870" s="6" t="s">
        <v>38</v>
      </c>
      <c r="S870" s="6" t="s">
        <v>29</v>
      </c>
      <c r="T870" s="14">
        <v>1.2999999999999999E-2</v>
      </c>
      <c r="U870">
        <v>1.2999999999999999E-2</v>
      </c>
      <c r="V870" t="str">
        <f>IF(fin_table[[#This Row],[Interest Rate(%)]]&gt;4,"high","low")</f>
        <v>low</v>
      </c>
      <c r="W870" s="5">
        <v>26681.654999999999</v>
      </c>
      <c r="X870" s="5">
        <f>fin_table[[#This Row],[Interest Rate]]*fin_table[[#This Row],[Loan Amount]]</f>
        <v>346.861515</v>
      </c>
      <c r="Y870">
        <v>13</v>
      </c>
      <c r="Z870" s="3">
        <v>681</v>
      </c>
      <c r="AA870" s="3" t="str">
        <f t="shared" si="95"/>
        <v>Good</v>
      </c>
      <c r="AB870" s="3" cm="1">
        <f t="array" ref="AB870">_xlfn.IFS(fin_table[[#This Row],[Transaction Status]]="Failed", 1, fin_table[[#This Row],[Transaction Status]]="Completed",0,fin_table[[#This Row],[Transaction Status]]="Pending",2)</f>
        <v>1</v>
      </c>
      <c r="AC870" s="3" t="str">
        <f>IF(fin_table[[#This Row],[Loan Defaulters]]=1,"Default", "Good")</f>
        <v>Default</v>
      </c>
      <c r="AD870" s="3">
        <f t="shared" si="96"/>
        <v>3</v>
      </c>
      <c r="AE870" s="4">
        <v>8765.31</v>
      </c>
      <c r="AF870" s="4" t="str">
        <f>IF(fin_table[[#This Row],[Monthly Income]]&lt;3000, "Low Income", IF(fin_table[[#This Row],[Monthly Income]]&lt;=5000, "Middle Income", "High Income"))</f>
        <v>High Income</v>
      </c>
      <c r="AG870" t="s">
        <v>45</v>
      </c>
      <c r="AH870" t="s">
        <v>3635</v>
      </c>
      <c r="AI870" t="str">
        <f t="shared" si="97"/>
        <v>Low-Risk</v>
      </c>
    </row>
    <row r="871" spans="1:35" x14ac:dyDescent="0.35">
      <c r="A871" t="s">
        <v>3166</v>
      </c>
      <c r="B871" t="s">
        <v>3167</v>
      </c>
      <c r="C871" t="s">
        <v>3168</v>
      </c>
      <c r="D871" s="1">
        <v>45120</v>
      </c>
      <c r="E871" s="1" t="str">
        <f t="shared" si="91"/>
        <v>13</v>
      </c>
      <c r="F871" s="1" t="str">
        <f t="shared" si="92"/>
        <v>Jul</v>
      </c>
      <c r="G871" s="6" t="s">
        <v>34</v>
      </c>
      <c r="H871" s="5">
        <v>6197.53</v>
      </c>
      <c r="I871" s="5" t="str">
        <f>IF(fin_table[[#This Row],[Account Balance]]&lt;20000,"Active", "Not Active")</f>
        <v>Active</v>
      </c>
      <c r="J871" s="5">
        <v>5566.61</v>
      </c>
      <c r="K871" s="5" t="str">
        <f t="shared" si="93"/>
        <v>Low</v>
      </c>
      <c r="L871" s="6" t="s">
        <v>125</v>
      </c>
      <c r="M871">
        <v>41</v>
      </c>
      <c r="N871" s="6" t="str">
        <f t="shared" si="94"/>
        <v>Middle-Aged</v>
      </c>
      <c r="O871" s="6" t="s">
        <v>42</v>
      </c>
      <c r="P871" s="6" t="s">
        <v>50</v>
      </c>
      <c r="Q871" t="s">
        <v>645</v>
      </c>
      <c r="R871" s="6" t="s">
        <v>52</v>
      </c>
      <c r="S871" s="6" t="s">
        <v>62</v>
      </c>
      <c r="T871" s="14">
        <v>3.6499999999999998E-2</v>
      </c>
      <c r="U871">
        <v>3.65</v>
      </c>
      <c r="V871" t="str">
        <f>IF(fin_table[[#This Row],[Interest Rate(%)]]&gt;4,"high","low")</f>
        <v>low</v>
      </c>
      <c r="W871" s="5">
        <v>22765.439999999999</v>
      </c>
      <c r="X871" s="5">
        <f>fin_table[[#This Row],[Interest Rate]]*fin_table[[#This Row],[Loan Amount]]</f>
        <v>830.93855999999994</v>
      </c>
      <c r="Y871">
        <v>13</v>
      </c>
      <c r="Z871" s="3">
        <v>708</v>
      </c>
      <c r="AA871" s="3" t="str">
        <f t="shared" si="95"/>
        <v>Good</v>
      </c>
      <c r="AB871" s="3" cm="1">
        <f t="array" ref="AB871">_xlfn.IFS(fin_table[[#This Row],[Transaction Status]]="Failed", 1, fin_table[[#This Row],[Transaction Status]]="Completed",0,fin_table[[#This Row],[Transaction Status]]="Pending",2)</f>
        <v>2</v>
      </c>
      <c r="AC871" s="3" t="str">
        <f>IF(fin_table[[#This Row],[Loan Defaulters]]=1,"Default", "Good")</f>
        <v>Good</v>
      </c>
      <c r="AD871" s="3">
        <f t="shared" si="96"/>
        <v>3</v>
      </c>
      <c r="AE871" s="4">
        <v>4655.4799999999996</v>
      </c>
      <c r="AF871" s="4" t="str">
        <f>IF(fin_table[[#This Row],[Monthly Income]]&lt;3000, "Low Income", IF(fin_table[[#This Row],[Monthly Income]]&lt;=5000, "Middle Income", "High Income"))</f>
        <v>Middle Income</v>
      </c>
      <c r="AG871" t="s">
        <v>45</v>
      </c>
      <c r="AH871" t="s">
        <v>3636</v>
      </c>
      <c r="AI871" t="str">
        <f t="shared" si="97"/>
        <v>Low-Risk</v>
      </c>
    </row>
    <row r="872" spans="1:35" x14ac:dyDescent="0.35">
      <c r="A872" t="s">
        <v>3169</v>
      </c>
      <c r="B872" t="s">
        <v>3170</v>
      </c>
      <c r="C872" t="s">
        <v>3171</v>
      </c>
      <c r="D872" s="1">
        <v>44886</v>
      </c>
      <c r="E872" s="1" t="str">
        <f t="shared" si="91"/>
        <v>21</v>
      </c>
      <c r="F872" s="1" t="str">
        <f t="shared" si="92"/>
        <v>Nov</v>
      </c>
      <c r="G872" s="6" t="s">
        <v>23</v>
      </c>
      <c r="H872" s="5">
        <v>8448.4500000000007</v>
      </c>
      <c r="I872" s="5" t="str">
        <f>IF(fin_table[[#This Row],[Account Balance]]&lt;20000,"Active", "Not Active")</f>
        <v>Not Active</v>
      </c>
      <c r="J872" s="5">
        <v>21114.29</v>
      </c>
      <c r="K872" s="5" t="str">
        <f t="shared" si="93"/>
        <v>Medium</v>
      </c>
      <c r="L872" s="6" t="s">
        <v>24</v>
      </c>
      <c r="M872">
        <v>52</v>
      </c>
      <c r="N872" s="6" t="str">
        <f t="shared" si="94"/>
        <v>Older Adults</v>
      </c>
      <c r="O872" s="6" t="s">
        <v>25</v>
      </c>
      <c r="P872" s="6" t="s">
        <v>36</v>
      </c>
      <c r="Q872" t="s">
        <v>2293</v>
      </c>
      <c r="R872" s="6" t="s">
        <v>28</v>
      </c>
      <c r="S872" s="6" t="s">
        <v>44</v>
      </c>
      <c r="T872" s="14">
        <v>2.7900000000000001E-2</v>
      </c>
      <c r="U872">
        <v>2.79</v>
      </c>
      <c r="V872" t="str">
        <f>IF(fin_table[[#This Row],[Interest Rate(%)]]&gt;4,"high","low")</f>
        <v>low</v>
      </c>
      <c r="W872" s="5">
        <v>38487.69</v>
      </c>
      <c r="X872" s="5">
        <f>fin_table[[#This Row],[Interest Rate]]*fin_table[[#This Row],[Loan Amount]]</f>
        <v>1073.8065510000001</v>
      </c>
      <c r="Y872">
        <v>9</v>
      </c>
      <c r="Z872" s="3">
        <v>570</v>
      </c>
      <c r="AA872" s="3" t="str">
        <f t="shared" si="95"/>
        <v>Poor</v>
      </c>
      <c r="AB872" s="3" cm="1">
        <f t="array" ref="AB872">_xlfn.IFS(fin_table[[#This Row],[Transaction Status]]="Failed", 1, fin_table[[#This Row],[Transaction Status]]="Completed",0,fin_table[[#This Row],[Transaction Status]]="Pending",2)</f>
        <v>0</v>
      </c>
      <c r="AC872" s="3" t="str">
        <f>IF(fin_table[[#This Row],[Loan Defaulters]]=1,"Default", "Good")</f>
        <v>Good</v>
      </c>
      <c r="AD872" s="3">
        <f t="shared" si="96"/>
        <v>1</v>
      </c>
      <c r="AE872" s="4">
        <v>9088.06</v>
      </c>
      <c r="AF872" s="4" t="str">
        <f>IF(fin_table[[#This Row],[Monthly Income]]&lt;3000, "Low Income", IF(fin_table[[#This Row],[Monthly Income]]&lt;=5000, "Middle Income", "High Income"))</f>
        <v>High Income</v>
      </c>
      <c r="AG872" t="s">
        <v>45</v>
      </c>
      <c r="AH872" t="s">
        <v>3636</v>
      </c>
      <c r="AI872" t="str">
        <f t="shared" si="97"/>
        <v>High-Risk</v>
      </c>
    </row>
    <row r="873" spans="1:35" x14ac:dyDescent="0.35">
      <c r="A873" t="s">
        <v>3172</v>
      </c>
      <c r="B873" t="s">
        <v>3173</v>
      </c>
      <c r="C873" t="s">
        <v>3174</v>
      </c>
      <c r="D873" s="1">
        <v>44646</v>
      </c>
      <c r="E873" s="1" t="str">
        <f t="shared" si="91"/>
        <v>26</v>
      </c>
      <c r="F873" s="1" t="str">
        <f t="shared" si="92"/>
        <v>Mar</v>
      </c>
      <c r="G873" s="6" t="s">
        <v>34</v>
      </c>
      <c r="H873" s="5">
        <v>1065.3900000000001</v>
      </c>
      <c r="I873" s="5" t="str">
        <f>IF(fin_table[[#This Row],[Account Balance]]&lt;20000,"Active", "Not Active")</f>
        <v>Active</v>
      </c>
      <c r="J873" s="5">
        <v>9003.5</v>
      </c>
      <c r="K873" s="5" t="str">
        <f t="shared" si="93"/>
        <v>Low</v>
      </c>
      <c r="L873" s="6" t="s">
        <v>35</v>
      </c>
      <c r="M873">
        <v>20</v>
      </c>
      <c r="N873" s="6" t="str">
        <f t="shared" si="94"/>
        <v>Young Adults</v>
      </c>
      <c r="O873" s="6" t="s">
        <v>25</v>
      </c>
      <c r="P873" s="6" t="s">
        <v>26</v>
      </c>
      <c r="Q873" t="s">
        <v>3175</v>
      </c>
      <c r="R873" s="6" t="s">
        <v>28</v>
      </c>
      <c r="S873" s="6" t="s">
        <v>44</v>
      </c>
      <c r="T873" s="14">
        <v>2.7900000000000001E-2</v>
      </c>
      <c r="U873">
        <v>2.79</v>
      </c>
      <c r="V873" t="str">
        <f>IF(fin_table[[#This Row],[Interest Rate(%)]]&gt;4,"high","low")</f>
        <v>low</v>
      </c>
      <c r="W873" s="5">
        <v>45367.13</v>
      </c>
      <c r="X873" s="5">
        <f>fin_table[[#This Row],[Interest Rate]]*fin_table[[#This Row],[Loan Amount]]</f>
        <v>1265.742927</v>
      </c>
      <c r="Y873">
        <v>13</v>
      </c>
      <c r="Z873" s="3">
        <v>706</v>
      </c>
      <c r="AA873" s="3" t="str">
        <f t="shared" si="95"/>
        <v>Good</v>
      </c>
      <c r="AB873" s="3" cm="1">
        <f t="array" ref="AB873">_xlfn.IFS(fin_table[[#This Row],[Transaction Status]]="Failed", 1, fin_table[[#This Row],[Transaction Status]]="Completed",0,fin_table[[#This Row],[Transaction Status]]="Pending",2)</f>
        <v>0</v>
      </c>
      <c r="AC873" s="3" t="str">
        <f>IF(fin_table[[#This Row],[Loan Defaulters]]=1,"Default", "Good")</f>
        <v>Good</v>
      </c>
      <c r="AD873" s="3">
        <f t="shared" si="96"/>
        <v>3</v>
      </c>
      <c r="AE873" s="4">
        <v>11949.58</v>
      </c>
      <c r="AF873" s="4" t="str">
        <f>IF(fin_table[[#This Row],[Monthly Income]]&lt;3000, "Low Income", IF(fin_table[[#This Row],[Monthly Income]]&lt;=5000, "Middle Income", "High Income"))</f>
        <v>High Income</v>
      </c>
      <c r="AG873" t="s">
        <v>30</v>
      </c>
      <c r="AH873" t="s">
        <v>3636</v>
      </c>
      <c r="AI873" t="str">
        <f t="shared" si="97"/>
        <v>Low-Risk</v>
      </c>
    </row>
    <row r="874" spans="1:35" x14ac:dyDescent="0.35">
      <c r="A874" t="s">
        <v>3176</v>
      </c>
      <c r="B874" t="s">
        <v>3177</v>
      </c>
      <c r="C874" t="s">
        <v>3178</v>
      </c>
      <c r="D874" s="1">
        <v>45143</v>
      </c>
      <c r="E874" s="1" t="str">
        <f t="shared" si="91"/>
        <v>05</v>
      </c>
      <c r="F874" s="1" t="str">
        <f t="shared" si="92"/>
        <v>Aug</v>
      </c>
      <c r="G874" s="6" t="s">
        <v>56</v>
      </c>
      <c r="H874" s="5">
        <v>5633.91</v>
      </c>
      <c r="I874" s="5" t="str">
        <f>IF(fin_table[[#This Row],[Account Balance]]&lt;20000,"Active", "Not Active")</f>
        <v>Active</v>
      </c>
      <c r="J874" s="5">
        <v>11867.32</v>
      </c>
      <c r="K874" s="5" t="str">
        <f t="shared" si="93"/>
        <v>Medium</v>
      </c>
      <c r="L874" s="6" t="s">
        <v>24</v>
      </c>
      <c r="M874">
        <v>21</v>
      </c>
      <c r="N874" s="6" t="str">
        <f t="shared" si="94"/>
        <v>Young Adults</v>
      </c>
      <c r="O874" s="6" t="s">
        <v>25</v>
      </c>
      <c r="P874" s="6" t="s">
        <v>36</v>
      </c>
      <c r="Q874" t="s">
        <v>3179</v>
      </c>
      <c r="R874" s="6" t="s">
        <v>52</v>
      </c>
      <c r="S874" s="6" t="s">
        <v>44</v>
      </c>
      <c r="T874" s="14">
        <v>2.8299999999999999E-2</v>
      </c>
      <c r="U874">
        <v>2.83</v>
      </c>
      <c r="V874" t="str">
        <f>IF(fin_table[[#This Row],[Interest Rate(%)]]&gt;4,"high","low")</f>
        <v>low</v>
      </c>
      <c r="W874" s="5">
        <v>26681.654999999999</v>
      </c>
      <c r="X874" s="5">
        <f>fin_table[[#This Row],[Interest Rate]]*fin_table[[#This Row],[Loan Amount]]</f>
        <v>755.09083649999991</v>
      </c>
      <c r="Y874">
        <v>13</v>
      </c>
      <c r="Z874" s="3">
        <v>493</v>
      </c>
      <c r="AA874" s="3" t="str">
        <f t="shared" si="95"/>
        <v>Poor</v>
      </c>
      <c r="AB874" s="3" cm="1">
        <f t="array" ref="AB874">_xlfn.IFS(fin_table[[#This Row],[Transaction Status]]="Failed", 1, fin_table[[#This Row],[Transaction Status]]="Completed",0,fin_table[[#This Row],[Transaction Status]]="Pending",2)</f>
        <v>0</v>
      </c>
      <c r="AC874" s="3" t="str">
        <f>IF(fin_table[[#This Row],[Loan Defaulters]]=1,"Default", "Good")</f>
        <v>Good</v>
      </c>
      <c r="AD874" s="3">
        <f t="shared" si="96"/>
        <v>1</v>
      </c>
      <c r="AE874" s="4">
        <v>13643.7</v>
      </c>
      <c r="AF874" s="4" t="str">
        <f>IF(fin_table[[#This Row],[Monthly Income]]&lt;3000, "Low Income", IF(fin_table[[#This Row],[Monthly Income]]&lt;=5000, "Middle Income", "High Income"))</f>
        <v>High Income</v>
      </c>
      <c r="AG874" t="s">
        <v>45</v>
      </c>
      <c r="AH874" t="s">
        <v>3635</v>
      </c>
      <c r="AI874" t="str">
        <f t="shared" si="97"/>
        <v>Low-Risk</v>
      </c>
    </row>
    <row r="875" spans="1:35" x14ac:dyDescent="0.35">
      <c r="A875" t="s">
        <v>3180</v>
      </c>
      <c r="B875" t="s">
        <v>3181</v>
      </c>
      <c r="C875" t="s">
        <v>3182</v>
      </c>
      <c r="D875" s="1">
        <v>44616</v>
      </c>
      <c r="E875" s="1" t="str">
        <f t="shared" si="91"/>
        <v>24</v>
      </c>
      <c r="F875" s="1" t="str">
        <f t="shared" si="92"/>
        <v>Feb</v>
      </c>
      <c r="G875" s="6" t="s">
        <v>71</v>
      </c>
      <c r="H875" s="5">
        <v>5060.7700000000004</v>
      </c>
      <c r="I875" s="5" t="str">
        <f>IF(fin_table[[#This Row],[Account Balance]]&lt;20000,"Active", "Not Active")</f>
        <v>Active</v>
      </c>
      <c r="J875" s="5">
        <v>16560.169999999998</v>
      </c>
      <c r="K875" s="5" t="str">
        <f t="shared" si="93"/>
        <v>Medium</v>
      </c>
      <c r="L875" s="6" t="s">
        <v>49</v>
      </c>
      <c r="M875">
        <v>54</v>
      </c>
      <c r="N875" s="6" t="str">
        <f t="shared" si="94"/>
        <v>Older Adults</v>
      </c>
      <c r="O875" s="6" t="s">
        <v>25</v>
      </c>
      <c r="P875" s="6" t="s">
        <v>26</v>
      </c>
      <c r="Q875" t="s">
        <v>3183</v>
      </c>
      <c r="R875" s="6" t="s">
        <v>28</v>
      </c>
      <c r="S875" s="6" t="s">
        <v>62</v>
      </c>
      <c r="T875" s="14">
        <v>2.0299999999999999E-2</v>
      </c>
      <c r="U875">
        <v>2.0299999999999998</v>
      </c>
      <c r="V875" t="str">
        <f>IF(fin_table[[#This Row],[Interest Rate(%)]]&gt;4,"high","low")</f>
        <v>low</v>
      </c>
      <c r="W875" s="5">
        <v>22048.23</v>
      </c>
      <c r="X875" s="5">
        <f>fin_table[[#This Row],[Interest Rate]]*fin_table[[#This Row],[Loan Amount]]</f>
        <v>447.57906899999995</v>
      </c>
      <c r="Y875">
        <v>22</v>
      </c>
      <c r="Z875" s="3">
        <v>740</v>
      </c>
      <c r="AA875" s="3" t="str">
        <f t="shared" si="95"/>
        <v>Very Good</v>
      </c>
      <c r="AB875" s="3" cm="1">
        <f t="array" ref="AB875">_xlfn.IFS(fin_table[[#This Row],[Transaction Status]]="Failed", 1, fin_table[[#This Row],[Transaction Status]]="Completed",0,fin_table[[#This Row],[Transaction Status]]="Pending",2)</f>
        <v>2</v>
      </c>
      <c r="AC875" s="3" t="str">
        <f>IF(fin_table[[#This Row],[Loan Defaulters]]=1,"Default", "Good")</f>
        <v>Good</v>
      </c>
      <c r="AD875" s="3">
        <f t="shared" si="96"/>
        <v>4</v>
      </c>
      <c r="AE875" s="4">
        <v>12266.26</v>
      </c>
      <c r="AF875" s="4" t="str">
        <f>IF(fin_table[[#This Row],[Monthly Income]]&lt;3000, "Low Income", IF(fin_table[[#This Row],[Monthly Income]]&lt;=5000, "Middle Income", "High Income"))</f>
        <v>High Income</v>
      </c>
      <c r="AG875" t="s">
        <v>30</v>
      </c>
      <c r="AH875" t="s">
        <v>3636</v>
      </c>
      <c r="AI875" t="str">
        <f t="shared" si="97"/>
        <v>Low-Risk</v>
      </c>
    </row>
    <row r="876" spans="1:35" x14ac:dyDescent="0.35">
      <c r="A876" t="s">
        <v>3184</v>
      </c>
      <c r="B876" t="s">
        <v>3185</v>
      </c>
      <c r="C876" t="s">
        <v>3186</v>
      </c>
      <c r="D876" s="1">
        <v>45131</v>
      </c>
      <c r="E876" s="1" t="str">
        <f t="shared" si="91"/>
        <v>24</v>
      </c>
      <c r="F876" s="1" t="str">
        <f t="shared" si="92"/>
        <v>Jul</v>
      </c>
      <c r="G876" s="6" t="s">
        <v>56</v>
      </c>
      <c r="H876" s="5">
        <v>7091.31</v>
      </c>
      <c r="I876" s="5" t="str">
        <f>IF(fin_table[[#This Row],[Account Balance]]&lt;20000,"Active", "Not Active")</f>
        <v>Active</v>
      </c>
      <c r="J876" s="5">
        <v>13710.03</v>
      </c>
      <c r="K876" s="5" t="str">
        <f t="shared" si="93"/>
        <v>Medium</v>
      </c>
      <c r="L876" s="6" t="s">
        <v>35</v>
      </c>
      <c r="M876">
        <v>57</v>
      </c>
      <c r="N876" s="6" t="str">
        <f t="shared" si="94"/>
        <v>Older Adults</v>
      </c>
      <c r="O876" s="6" t="s">
        <v>25</v>
      </c>
      <c r="P876" s="6" t="s">
        <v>50</v>
      </c>
      <c r="Q876" t="s">
        <v>3187</v>
      </c>
      <c r="R876" s="6" t="s">
        <v>28</v>
      </c>
      <c r="S876" s="6" t="s">
        <v>44</v>
      </c>
      <c r="T876" s="14">
        <v>3.8600000000000002E-2</v>
      </c>
      <c r="U876">
        <v>3.86</v>
      </c>
      <c r="V876" t="str">
        <f>IF(fin_table[[#This Row],[Interest Rate(%)]]&gt;4,"high","low")</f>
        <v>low</v>
      </c>
      <c r="W876" s="5">
        <v>12810.23</v>
      </c>
      <c r="X876" s="5">
        <f>fin_table[[#This Row],[Interest Rate]]*fin_table[[#This Row],[Loan Amount]]</f>
        <v>494.47487799999999</v>
      </c>
      <c r="Y876">
        <v>13</v>
      </c>
      <c r="Z876" s="3">
        <v>612</v>
      </c>
      <c r="AA876" s="3" t="str">
        <f t="shared" si="95"/>
        <v>Fair</v>
      </c>
      <c r="AB876" s="3" cm="1">
        <f t="array" ref="AB876">_xlfn.IFS(fin_table[[#This Row],[Transaction Status]]="Failed", 1, fin_table[[#This Row],[Transaction Status]]="Completed",0,fin_table[[#This Row],[Transaction Status]]="Pending",2)</f>
        <v>0</v>
      </c>
      <c r="AC876" s="3" t="str">
        <f>IF(fin_table[[#This Row],[Loan Defaulters]]=1,"Default", "Good")</f>
        <v>Good</v>
      </c>
      <c r="AD876" s="3">
        <f t="shared" si="96"/>
        <v>2</v>
      </c>
      <c r="AE876" s="4">
        <v>4538.47</v>
      </c>
      <c r="AF876" s="4" t="str">
        <f>IF(fin_table[[#This Row],[Monthly Income]]&lt;3000, "Low Income", IF(fin_table[[#This Row],[Monthly Income]]&lt;=5000, "Middle Income", "High Income"))</f>
        <v>Middle Income</v>
      </c>
      <c r="AG876" t="s">
        <v>45</v>
      </c>
      <c r="AH876" t="s">
        <v>3636</v>
      </c>
      <c r="AI876" t="str">
        <f t="shared" si="97"/>
        <v>Low-Risk</v>
      </c>
    </row>
    <row r="877" spans="1:35" x14ac:dyDescent="0.35">
      <c r="A877" t="s">
        <v>3188</v>
      </c>
      <c r="B877" t="s">
        <v>3189</v>
      </c>
      <c r="C877" t="s">
        <v>3190</v>
      </c>
      <c r="D877" s="1">
        <v>44576</v>
      </c>
      <c r="E877" s="1" t="str">
        <f t="shared" si="91"/>
        <v>15</v>
      </c>
      <c r="F877" s="1" t="str">
        <f t="shared" si="92"/>
        <v>Jan</v>
      </c>
      <c r="G877" s="6" t="s">
        <v>34</v>
      </c>
      <c r="H877" s="5">
        <v>5389.48</v>
      </c>
      <c r="I877" s="5" t="str">
        <f>IF(fin_table[[#This Row],[Account Balance]]&lt;20000,"Active", "Not Active")</f>
        <v>Active</v>
      </c>
      <c r="J877" s="5">
        <v>5291.97</v>
      </c>
      <c r="K877" s="5" t="str">
        <f t="shared" si="93"/>
        <v>Low</v>
      </c>
      <c r="L877" s="6" t="s">
        <v>24</v>
      </c>
      <c r="M877">
        <v>65</v>
      </c>
      <c r="N877" s="6" t="str">
        <f t="shared" si="94"/>
        <v>Seniors</v>
      </c>
      <c r="O877" s="6" t="s">
        <v>25</v>
      </c>
      <c r="P877" s="6" t="s">
        <v>26</v>
      </c>
      <c r="Q877" t="s">
        <v>3191</v>
      </c>
      <c r="R877" s="6" t="s">
        <v>52</v>
      </c>
      <c r="S877" s="6" t="s">
        <v>44</v>
      </c>
      <c r="T877" s="14">
        <v>3.8899999999999997E-2</v>
      </c>
      <c r="U877">
        <v>3.89</v>
      </c>
      <c r="V877" t="str">
        <f>IF(fin_table[[#This Row],[Interest Rate(%)]]&gt;4,"high","low")</f>
        <v>low</v>
      </c>
      <c r="W877" s="5">
        <v>26681.654999999999</v>
      </c>
      <c r="X877" s="5">
        <f>fin_table[[#This Row],[Interest Rate]]*fin_table[[#This Row],[Loan Amount]]</f>
        <v>1037.9163794999999</v>
      </c>
      <c r="Y877">
        <v>17</v>
      </c>
      <c r="Z877" s="3">
        <v>378</v>
      </c>
      <c r="AA877" s="3" t="str">
        <f t="shared" si="95"/>
        <v>Poor</v>
      </c>
      <c r="AB877" s="3" cm="1">
        <f t="array" ref="AB877">_xlfn.IFS(fin_table[[#This Row],[Transaction Status]]="Failed", 1, fin_table[[#This Row],[Transaction Status]]="Completed",0,fin_table[[#This Row],[Transaction Status]]="Pending",2)</f>
        <v>0</v>
      </c>
      <c r="AC877" s="3" t="str">
        <f>IF(fin_table[[#This Row],[Loan Defaulters]]=1,"Default", "Good")</f>
        <v>Good</v>
      </c>
      <c r="AD877" s="3">
        <f t="shared" si="96"/>
        <v>1</v>
      </c>
      <c r="AE877" s="4">
        <v>9795.92</v>
      </c>
      <c r="AF877" s="4" t="str">
        <f>IF(fin_table[[#This Row],[Monthly Income]]&lt;3000, "Low Income", IF(fin_table[[#This Row],[Monthly Income]]&lt;=5000, "Middle Income", "High Income"))</f>
        <v>High Income</v>
      </c>
      <c r="AG877" t="s">
        <v>45</v>
      </c>
      <c r="AH877" t="s">
        <v>3635</v>
      </c>
      <c r="AI877" t="str">
        <f t="shared" si="97"/>
        <v>Low-Risk</v>
      </c>
    </row>
    <row r="878" spans="1:35" x14ac:dyDescent="0.35">
      <c r="A878" t="s">
        <v>3192</v>
      </c>
      <c r="B878" t="s">
        <v>3193</v>
      </c>
      <c r="C878" t="s">
        <v>3194</v>
      </c>
      <c r="D878" s="1">
        <v>44578</v>
      </c>
      <c r="E878" s="1" t="str">
        <f t="shared" si="91"/>
        <v>17</v>
      </c>
      <c r="F878" s="1" t="str">
        <f t="shared" si="92"/>
        <v>Jan</v>
      </c>
      <c r="G878" s="6" t="s">
        <v>71</v>
      </c>
      <c r="H878" s="5">
        <v>5453.27</v>
      </c>
      <c r="I878" s="5" t="str">
        <f>IF(fin_table[[#This Row],[Account Balance]]&lt;20000,"Active", "Not Active")</f>
        <v>Active</v>
      </c>
      <c r="J878" s="5">
        <v>5405.9</v>
      </c>
      <c r="K878" s="5" t="str">
        <f t="shared" si="93"/>
        <v>Low</v>
      </c>
      <c r="L878" s="6" t="s">
        <v>125</v>
      </c>
      <c r="M878">
        <v>52</v>
      </c>
      <c r="N878" s="6" t="str">
        <f t="shared" si="94"/>
        <v>Older Adults</v>
      </c>
      <c r="O878" s="6" t="s">
        <v>25</v>
      </c>
      <c r="P878" s="6" t="s">
        <v>26</v>
      </c>
      <c r="Q878" t="s">
        <v>516</v>
      </c>
      <c r="R878" s="6" t="s">
        <v>28</v>
      </c>
      <c r="S878" s="6" t="s">
        <v>44</v>
      </c>
      <c r="T878" s="14">
        <v>2.1299999999999999E-2</v>
      </c>
      <c r="U878">
        <v>2.13</v>
      </c>
      <c r="V878" t="str">
        <f>IF(fin_table[[#This Row],[Interest Rate(%)]]&gt;4,"high","low")</f>
        <v>low</v>
      </c>
      <c r="W878" s="5">
        <v>26681.654999999999</v>
      </c>
      <c r="X878" s="5">
        <f>fin_table[[#This Row],[Interest Rate]]*fin_table[[#This Row],[Loan Amount]]</f>
        <v>568.31925149999995</v>
      </c>
      <c r="Y878">
        <v>7</v>
      </c>
      <c r="Z878" s="3">
        <v>479</v>
      </c>
      <c r="AA878" s="3" t="str">
        <f t="shared" si="95"/>
        <v>Poor</v>
      </c>
      <c r="AB878" s="3" cm="1">
        <f t="array" ref="AB878">_xlfn.IFS(fin_table[[#This Row],[Transaction Status]]="Failed", 1, fin_table[[#This Row],[Transaction Status]]="Completed",0,fin_table[[#This Row],[Transaction Status]]="Pending",2)</f>
        <v>0</v>
      </c>
      <c r="AC878" s="3" t="str">
        <f>IF(fin_table[[#This Row],[Loan Defaulters]]=1,"Default", "Good")</f>
        <v>Good</v>
      </c>
      <c r="AD878" s="3">
        <f t="shared" si="96"/>
        <v>1</v>
      </c>
      <c r="AE878" s="4">
        <v>6318.25</v>
      </c>
      <c r="AF878" s="4" t="str">
        <f>IF(fin_table[[#This Row],[Monthly Income]]&lt;3000, "Low Income", IF(fin_table[[#This Row],[Monthly Income]]&lt;=5000, "Middle Income", "High Income"))</f>
        <v>High Income</v>
      </c>
      <c r="AG878" t="s">
        <v>30</v>
      </c>
      <c r="AH878" t="s">
        <v>3635</v>
      </c>
      <c r="AI878" t="str">
        <f t="shared" si="97"/>
        <v>Low-Risk</v>
      </c>
    </row>
    <row r="879" spans="1:35" x14ac:dyDescent="0.35">
      <c r="A879" t="s">
        <v>3195</v>
      </c>
      <c r="B879" t="s">
        <v>3196</v>
      </c>
      <c r="C879" t="s">
        <v>3197</v>
      </c>
      <c r="D879" s="1">
        <v>45080</v>
      </c>
      <c r="E879" s="1" t="str">
        <f t="shared" si="91"/>
        <v>03</v>
      </c>
      <c r="F879" s="1" t="str">
        <f t="shared" si="92"/>
        <v>Jun</v>
      </c>
      <c r="G879" s="6" t="s">
        <v>71</v>
      </c>
      <c r="H879" s="5">
        <v>4353</v>
      </c>
      <c r="I879" s="5" t="str">
        <f>IF(fin_table[[#This Row],[Account Balance]]&lt;20000,"Active", "Not Active")</f>
        <v>Active</v>
      </c>
      <c r="J879" s="5">
        <v>10469.219999999999</v>
      </c>
      <c r="K879" s="5" t="str">
        <f t="shared" si="93"/>
        <v>Medium</v>
      </c>
      <c r="L879" s="6" t="s">
        <v>49</v>
      </c>
      <c r="M879">
        <v>48</v>
      </c>
      <c r="N879" s="6" t="str">
        <f t="shared" si="94"/>
        <v>Older Adults</v>
      </c>
      <c r="O879" s="6" t="s">
        <v>25</v>
      </c>
      <c r="P879" s="6" t="s">
        <v>36</v>
      </c>
      <c r="Q879" t="s">
        <v>3198</v>
      </c>
      <c r="R879" s="6" t="s">
        <v>38</v>
      </c>
      <c r="S879" s="6" t="s">
        <v>29</v>
      </c>
      <c r="T879" s="14">
        <v>4.3400000000000001E-2</v>
      </c>
      <c r="U879">
        <v>4.34</v>
      </c>
      <c r="V879" t="str">
        <f>IF(fin_table[[#This Row],[Interest Rate(%)]]&gt;4,"high","low")</f>
        <v>high</v>
      </c>
      <c r="W879" s="5">
        <v>37475.980000000003</v>
      </c>
      <c r="X879" s="5">
        <f>fin_table[[#This Row],[Interest Rate]]*fin_table[[#This Row],[Loan Amount]]</f>
        <v>1626.4575320000001</v>
      </c>
      <c r="Y879">
        <v>13</v>
      </c>
      <c r="Z879" s="3">
        <v>313</v>
      </c>
      <c r="AA879" s="3" t="str">
        <f t="shared" si="95"/>
        <v>Poor</v>
      </c>
      <c r="AB879" s="3" cm="1">
        <f t="array" ref="AB879">_xlfn.IFS(fin_table[[#This Row],[Transaction Status]]="Failed", 1, fin_table[[#This Row],[Transaction Status]]="Completed",0,fin_table[[#This Row],[Transaction Status]]="Pending",2)</f>
        <v>1</v>
      </c>
      <c r="AC879" s="3" t="str">
        <f>IF(fin_table[[#This Row],[Loan Defaulters]]=1,"Default", "Good")</f>
        <v>Default</v>
      </c>
      <c r="AD879" s="3">
        <f t="shared" si="96"/>
        <v>1</v>
      </c>
      <c r="AE879" s="4">
        <v>2119.67</v>
      </c>
      <c r="AF879" s="4" t="str">
        <f>IF(fin_table[[#This Row],[Monthly Income]]&lt;3000, "Low Income", IF(fin_table[[#This Row],[Monthly Income]]&lt;=5000, "Middle Income", "High Income"))</f>
        <v>Low Income</v>
      </c>
      <c r="AG879" t="s">
        <v>45</v>
      </c>
      <c r="AH879" t="s">
        <v>3636</v>
      </c>
      <c r="AI879" t="str">
        <f t="shared" si="97"/>
        <v>High-Risk</v>
      </c>
    </row>
    <row r="880" spans="1:35" x14ac:dyDescent="0.35">
      <c r="A880" t="s">
        <v>3199</v>
      </c>
      <c r="B880" t="s">
        <v>3200</v>
      </c>
      <c r="C880" t="s">
        <v>3201</v>
      </c>
      <c r="D880" s="1">
        <v>44943</v>
      </c>
      <c r="E880" s="1" t="str">
        <f t="shared" si="91"/>
        <v>17</v>
      </c>
      <c r="F880" s="1" t="str">
        <f t="shared" si="92"/>
        <v>Jan</v>
      </c>
      <c r="G880" s="6" t="s">
        <v>34</v>
      </c>
      <c r="H880" s="5">
        <v>3157.46</v>
      </c>
      <c r="I880" s="5" t="str">
        <f>IF(fin_table[[#This Row],[Account Balance]]&lt;20000,"Active", "Not Active")</f>
        <v>Active</v>
      </c>
      <c r="J880" s="5">
        <v>3477.4</v>
      </c>
      <c r="K880" s="5" t="str">
        <f t="shared" si="93"/>
        <v>Low</v>
      </c>
      <c r="L880" s="6" t="s">
        <v>49</v>
      </c>
      <c r="M880">
        <v>61</v>
      </c>
      <c r="N880" s="6" t="str">
        <f t="shared" si="94"/>
        <v>Seniors</v>
      </c>
      <c r="O880" s="6" t="s">
        <v>42</v>
      </c>
      <c r="P880" s="6" t="s">
        <v>26</v>
      </c>
      <c r="Q880" t="s">
        <v>1418</v>
      </c>
      <c r="R880" s="6" t="s">
        <v>28</v>
      </c>
      <c r="S880" s="6" t="s">
        <v>62</v>
      </c>
      <c r="T880" s="14">
        <v>2.2700000000000001E-2</v>
      </c>
      <c r="U880">
        <v>2.27</v>
      </c>
      <c r="V880" t="str">
        <f>IF(fin_table[[#This Row],[Interest Rate(%)]]&gt;4,"high","low")</f>
        <v>low</v>
      </c>
      <c r="W880" s="5">
        <v>11322.38</v>
      </c>
      <c r="X880" s="5">
        <f>fin_table[[#This Row],[Interest Rate]]*fin_table[[#This Row],[Loan Amount]]</f>
        <v>257.01802600000002</v>
      </c>
      <c r="Y880">
        <v>13</v>
      </c>
      <c r="Z880" s="3">
        <v>545</v>
      </c>
      <c r="AA880" s="3" t="str">
        <f t="shared" si="95"/>
        <v>Poor</v>
      </c>
      <c r="AB880" s="3" cm="1">
        <f t="array" ref="AB880">_xlfn.IFS(fin_table[[#This Row],[Transaction Status]]="Failed", 1, fin_table[[#This Row],[Transaction Status]]="Completed",0,fin_table[[#This Row],[Transaction Status]]="Pending",2)</f>
        <v>2</v>
      </c>
      <c r="AC880" s="3" t="str">
        <f>IF(fin_table[[#This Row],[Loan Defaulters]]=1,"Default", "Good")</f>
        <v>Good</v>
      </c>
      <c r="AD880" s="3">
        <f t="shared" si="96"/>
        <v>1</v>
      </c>
      <c r="AE880" s="4">
        <v>4602.87</v>
      </c>
      <c r="AF880" s="4" t="str">
        <f>IF(fin_table[[#This Row],[Monthly Income]]&lt;3000, "Low Income", IF(fin_table[[#This Row],[Monthly Income]]&lt;=5000, "Middle Income", "High Income"))</f>
        <v>Middle Income</v>
      </c>
      <c r="AG880" t="s">
        <v>30</v>
      </c>
      <c r="AH880" t="s">
        <v>3636</v>
      </c>
      <c r="AI880" t="str">
        <f t="shared" si="97"/>
        <v>Low-Risk</v>
      </c>
    </row>
    <row r="881" spans="1:35" x14ac:dyDescent="0.35">
      <c r="A881" t="s">
        <v>3202</v>
      </c>
      <c r="B881" t="s">
        <v>3203</v>
      </c>
      <c r="C881" t="s">
        <v>3204</v>
      </c>
      <c r="D881" s="1">
        <v>44980</v>
      </c>
      <c r="E881" s="1" t="str">
        <f t="shared" si="91"/>
        <v>23</v>
      </c>
      <c r="F881" s="1" t="str">
        <f t="shared" si="92"/>
        <v>Feb</v>
      </c>
      <c r="G881" s="6" t="s">
        <v>34</v>
      </c>
      <c r="H881" s="5">
        <v>4874.42</v>
      </c>
      <c r="I881" s="5" t="str">
        <f>IF(fin_table[[#This Row],[Account Balance]]&lt;20000,"Active", "Not Active")</f>
        <v>Not Active</v>
      </c>
      <c r="J881" s="5">
        <v>31696.39</v>
      </c>
      <c r="K881" s="5" t="str">
        <f t="shared" si="93"/>
        <v>Medium</v>
      </c>
      <c r="L881" s="6" t="s">
        <v>49</v>
      </c>
      <c r="M881">
        <v>42</v>
      </c>
      <c r="N881" s="6" t="str">
        <f t="shared" si="94"/>
        <v>Middle-Aged</v>
      </c>
      <c r="O881" s="6" t="s">
        <v>42</v>
      </c>
      <c r="P881" s="6" t="s">
        <v>50</v>
      </c>
      <c r="Q881" t="s">
        <v>438</v>
      </c>
      <c r="R881" s="6" t="s">
        <v>52</v>
      </c>
      <c r="S881" s="6" t="s">
        <v>29</v>
      </c>
      <c r="T881" s="14">
        <v>3.9E-2</v>
      </c>
      <c r="U881">
        <v>3.9E-2</v>
      </c>
      <c r="V881" t="str">
        <f>IF(fin_table[[#This Row],[Interest Rate(%)]]&gt;4,"high","low")</f>
        <v>low</v>
      </c>
      <c r="W881" s="5">
        <v>22522.41</v>
      </c>
      <c r="X881" s="5">
        <f>fin_table[[#This Row],[Interest Rate]]*fin_table[[#This Row],[Loan Amount]]</f>
        <v>878.37399000000005</v>
      </c>
      <c r="Y881">
        <v>13</v>
      </c>
      <c r="Z881" s="3">
        <v>313</v>
      </c>
      <c r="AA881" s="3" t="str">
        <f t="shared" si="95"/>
        <v>Poor</v>
      </c>
      <c r="AB881" s="3" cm="1">
        <f t="array" ref="AB881">_xlfn.IFS(fin_table[[#This Row],[Transaction Status]]="Failed", 1, fin_table[[#This Row],[Transaction Status]]="Completed",0,fin_table[[#This Row],[Transaction Status]]="Pending",2)</f>
        <v>1</v>
      </c>
      <c r="AC881" s="3" t="str">
        <f>IF(fin_table[[#This Row],[Loan Defaulters]]=1,"Default", "Good")</f>
        <v>Default</v>
      </c>
      <c r="AD881" s="3">
        <f t="shared" si="96"/>
        <v>1</v>
      </c>
      <c r="AE881" s="4">
        <v>3471.87</v>
      </c>
      <c r="AF881" s="4" t="str">
        <f>IF(fin_table[[#This Row],[Monthly Income]]&lt;3000, "Low Income", IF(fin_table[[#This Row],[Monthly Income]]&lt;=5000, "Middle Income", "High Income"))</f>
        <v>Middle Income</v>
      </c>
      <c r="AG881" t="s">
        <v>45</v>
      </c>
      <c r="AH881" t="s">
        <v>3636</v>
      </c>
      <c r="AI881" t="str">
        <f t="shared" si="97"/>
        <v>Low-Risk</v>
      </c>
    </row>
    <row r="882" spans="1:35" x14ac:dyDescent="0.35">
      <c r="A882" t="s">
        <v>3205</v>
      </c>
      <c r="B882" t="s">
        <v>3206</v>
      </c>
      <c r="C882" t="s">
        <v>3207</v>
      </c>
      <c r="D882" s="1">
        <v>45024</v>
      </c>
      <c r="E882" s="1" t="str">
        <f t="shared" si="91"/>
        <v>08</v>
      </c>
      <c r="F882" s="1" t="str">
        <f t="shared" si="92"/>
        <v>Apr</v>
      </c>
      <c r="G882" s="6" t="s">
        <v>34</v>
      </c>
      <c r="H882" s="5">
        <v>1273.07</v>
      </c>
      <c r="I882" s="5" t="str">
        <f>IF(fin_table[[#This Row],[Account Balance]]&lt;20000,"Active", "Not Active")</f>
        <v>Active</v>
      </c>
      <c r="J882" s="5">
        <v>15079.01</v>
      </c>
      <c r="K882" s="5" t="str">
        <f t="shared" si="93"/>
        <v>Medium</v>
      </c>
      <c r="L882" s="6" t="s">
        <v>35</v>
      </c>
      <c r="M882">
        <v>57</v>
      </c>
      <c r="N882" s="6" t="str">
        <f t="shared" si="94"/>
        <v>Older Adults</v>
      </c>
      <c r="O882" s="6" t="s">
        <v>25</v>
      </c>
      <c r="P882" s="6" t="s">
        <v>26</v>
      </c>
      <c r="Q882" t="s">
        <v>1803</v>
      </c>
      <c r="R882" s="6" t="s">
        <v>38</v>
      </c>
      <c r="S882" s="6" t="s">
        <v>29</v>
      </c>
      <c r="T882" s="14">
        <v>1.4800000000000001E-2</v>
      </c>
      <c r="U882">
        <v>1.48</v>
      </c>
      <c r="V882" t="str">
        <f>IF(fin_table[[#This Row],[Interest Rate(%)]]&gt;4,"high","low")</f>
        <v>low</v>
      </c>
      <c r="W882" s="5">
        <v>23520.01</v>
      </c>
      <c r="X882" s="5">
        <f>fin_table[[#This Row],[Interest Rate]]*fin_table[[#This Row],[Loan Amount]]</f>
        <v>348.09614799999997</v>
      </c>
      <c r="Y882">
        <v>13</v>
      </c>
      <c r="Z882" s="3">
        <v>398</v>
      </c>
      <c r="AA882" s="3" t="str">
        <f t="shared" si="95"/>
        <v>Poor</v>
      </c>
      <c r="AB882" s="3" cm="1">
        <f t="array" ref="AB882">_xlfn.IFS(fin_table[[#This Row],[Transaction Status]]="Failed", 1, fin_table[[#This Row],[Transaction Status]]="Completed",0,fin_table[[#This Row],[Transaction Status]]="Pending",2)</f>
        <v>1</v>
      </c>
      <c r="AC882" s="3" t="str">
        <f>IF(fin_table[[#This Row],[Loan Defaulters]]=1,"Default", "Good")</f>
        <v>Default</v>
      </c>
      <c r="AD882" s="3">
        <f t="shared" si="96"/>
        <v>1</v>
      </c>
      <c r="AE882" s="4">
        <v>12955.35</v>
      </c>
      <c r="AF882" s="4" t="str">
        <f>IF(fin_table[[#This Row],[Monthly Income]]&lt;3000, "Low Income", IF(fin_table[[#This Row],[Monthly Income]]&lt;=5000, "Middle Income", "High Income"))</f>
        <v>High Income</v>
      </c>
      <c r="AG882" t="s">
        <v>45</v>
      </c>
      <c r="AH882" t="s">
        <v>3636</v>
      </c>
      <c r="AI882" t="str">
        <f t="shared" si="97"/>
        <v>Low-Risk</v>
      </c>
    </row>
    <row r="883" spans="1:35" x14ac:dyDescent="0.35">
      <c r="A883" t="s">
        <v>3208</v>
      </c>
      <c r="B883" t="s">
        <v>3209</v>
      </c>
      <c r="C883" t="s">
        <v>3210</v>
      </c>
      <c r="D883" s="1">
        <v>44817</v>
      </c>
      <c r="E883" s="1" t="str">
        <f t="shared" si="91"/>
        <v>13</v>
      </c>
      <c r="F883" s="1" t="str">
        <f t="shared" si="92"/>
        <v>Sep</v>
      </c>
      <c r="G883" s="6" t="s">
        <v>34</v>
      </c>
      <c r="H883" s="5">
        <v>9618.98</v>
      </c>
      <c r="I883" s="5" t="str">
        <f>IF(fin_table[[#This Row],[Account Balance]]&lt;20000,"Active", "Not Active")</f>
        <v>Active</v>
      </c>
      <c r="J883" s="5">
        <v>14707.55</v>
      </c>
      <c r="K883" s="5" t="str">
        <f t="shared" si="93"/>
        <v>Medium</v>
      </c>
      <c r="L883" s="6" t="s">
        <v>100</v>
      </c>
      <c r="M883">
        <v>30</v>
      </c>
      <c r="N883" s="6" t="str">
        <f t="shared" si="94"/>
        <v>Adults</v>
      </c>
      <c r="O883" s="6" t="s">
        <v>25</v>
      </c>
      <c r="P883" s="6" t="s">
        <v>26</v>
      </c>
      <c r="Q883" t="s">
        <v>493</v>
      </c>
      <c r="R883" s="6" t="s">
        <v>38</v>
      </c>
      <c r="S883" s="6" t="s">
        <v>62</v>
      </c>
      <c r="T883" s="14">
        <v>1.67E-2</v>
      </c>
      <c r="U883">
        <v>1.67</v>
      </c>
      <c r="V883" t="str">
        <f>IF(fin_table[[#This Row],[Interest Rate(%)]]&gt;4,"high","low")</f>
        <v>low</v>
      </c>
      <c r="W883" s="5">
        <v>26681.654999999999</v>
      </c>
      <c r="X883" s="5">
        <f>fin_table[[#This Row],[Interest Rate]]*fin_table[[#This Row],[Loan Amount]]</f>
        <v>445.58363849999995</v>
      </c>
      <c r="Y883">
        <v>13</v>
      </c>
      <c r="Z883" s="3">
        <v>332</v>
      </c>
      <c r="AA883" s="3" t="str">
        <f t="shared" si="95"/>
        <v>Poor</v>
      </c>
      <c r="AB883" s="3" cm="1">
        <f t="array" ref="AB883">_xlfn.IFS(fin_table[[#This Row],[Transaction Status]]="Failed", 1, fin_table[[#This Row],[Transaction Status]]="Completed",0,fin_table[[#This Row],[Transaction Status]]="Pending",2)</f>
        <v>2</v>
      </c>
      <c r="AC883" s="3" t="str">
        <f>IF(fin_table[[#This Row],[Loan Defaulters]]=1,"Default", "Good")</f>
        <v>Good</v>
      </c>
      <c r="AD883" s="3">
        <f t="shared" si="96"/>
        <v>1</v>
      </c>
      <c r="AE883" s="4">
        <v>5360.58</v>
      </c>
      <c r="AF883" s="4" t="str">
        <f>IF(fin_table[[#This Row],[Monthly Income]]&lt;3000, "Low Income", IF(fin_table[[#This Row],[Monthly Income]]&lt;=5000, "Middle Income", "High Income"))</f>
        <v>High Income</v>
      </c>
      <c r="AG883" t="s">
        <v>45</v>
      </c>
      <c r="AH883" t="s">
        <v>3635</v>
      </c>
      <c r="AI883" t="str">
        <f t="shared" si="97"/>
        <v>Low-Risk</v>
      </c>
    </row>
    <row r="884" spans="1:35" x14ac:dyDescent="0.35">
      <c r="A884" t="s">
        <v>3211</v>
      </c>
      <c r="B884" t="s">
        <v>3212</v>
      </c>
      <c r="C884" t="s">
        <v>3213</v>
      </c>
      <c r="D884" s="1">
        <v>45108</v>
      </c>
      <c r="E884" s="1" t="str">
        <f t="shared" si="91"/>
        <v>01</v>
      </c>
      <c r="F884" s="1" t="str">
        <f t="shared" si="92"/>
        <v>Jul</v>
      </c>
      <c r="G884" s="6" t="s">
        <v>34</v>
      </c>
      <c r="H884" s="5">
        <v>7172.67</v>
      </c>
      <c r="I884" s="5" t="str">
        <f>IF(fin_table[[#This Row],[Account Balance]]&lt;20000,"Active", "Not Active")</f>
        <v>Active</v>
      </c>
      <c r="J884" s="5">
        <v>17267.919999999998</v>
      </c>
      <c r="K884" s="5" t="str">
        <f t="shared" si="93"/>
        <v>Medium</v>
      </c>
      <c r="L884" s="6" t="s">
        <v>35</v>
      </c>
      <c r="M884">
        <v>21</v>
      </c>
      <c r="N884" s="6" t="str">
        <f t="shared" si="94"/>
        <v>Young Adults</v>
      </c>
      <c r="O884" s="6" t="s">
        <v>25</v>
      </c>
      <c r="P884" s="6" t="s">
        <v>26</v>
      </c>
      <c r="Q884" t="s">
        <v>1268</v>
      </c>
      <c r="R884" s="6" t="s">
        <v>28</v>
      </c>
      <c r="S884" s="6" t="s">
        <v>29</v>
      </c>
      <c r="T884" s="14">
        <v>2.2599999999999999E-2</v>
      </c>
      <c r="U884">
        <v>2.2599999999999998</v>
      </c>
      <c r="V884" t="str">
        <f>IF(fin_table[[#This Row],[Interest Rate(%)]]&gt;4,"high","low")</f>
        <v>low</v>
      </c>
      <c r="W884" s="5">
        <v>26681.654999999999</v>
      </c>
      <c r="X884" s="5">
        <f>fin_table[[#This Row],[Interest Rate]]*fin_table[[#This Row],[Loan Amount]]</f>
        <v>603.00540299999989</v>
      </c>
      <c r="Y884">
        <v>3</v>
      </c>
      <c r="Z884" s="3">
        <v>735</v>
      </c>
      <c r="AA884" s="3" t="str">
        <f t="shared" si="95"/>
        <v>Good</v>
      </c>
      <c r="AB884" s="3" cm="1">
        <f t="array" ref="AB884">_xlfn.IFS(fin_table[[#This Row],[Transaction Status]]="Failed", 1, fin_table[[#This Row],[Transaction Status]]="Completed",0,fin_table[[#This Row],[Transaction Status]]="Pending",2)</f>
        <v>1</v>
      </c>
      <c r="AC884" s="3" t="str">
        <f>IF(fin_table[[#This Row],[Loan Defaulters]]=1,"Default", "Good")</f>
        <v>Default</v>
      </c>
      <c r="AD884" s="3">
        <f t="shared" si="96"/>
        <v>3</v>
      </c>
      <c r="AE884" s="4">
        <v>5701.07</v>
      </c>
      <c r="AF884" s="4" t="str">
        <f>IF(fin_table[[#This Row],[Monthly Income]]&lt;3000, "Low Income", IF(fin_table[[#This Row],[Monthly Income]]&lt;=5000, "Middle Income", "High Income"))</f>
        <v>High Income</v>
      </c>
      <c r="AG884" t="s">
        <v>45</v>
      </c>
      <c r="AH884" t="s">
        <v>3635</v>
      </c>
      <c r="AI884" t="str">
        <f t="shared" si="97"/>
        <v>Low-Risk</v>
      </c>
    </row>
    <row r="885" spans="1:35" x14ac:dyDescent="0.35">
      <c r="A885" t="s">
        <v>3214</v>
      </c>
      <c r="B885" t="s">
        <v>3215</v>
      </c>
      <c r="C885" t="s">
        <v>3216</v>
      </c>
      <c r="D885" s="1">
        <v>44628</v>
      </c>
      <c r="E885" s="1" t="str">
        <f t="shared" si="91"/>
        <v>08</v>
      </c>
      <c r="F885" s="1" t="str">
        <f t="shared" si="92"/>
        <v>Mar</v>
      </c>
      <c r="G885" s="6" t="s">
        <v>71</v>
      </c>
      <c r="H885" s="5">
        <v>9529.42</v>
      </c>
      <c r="I885" s="5" t="str">
        <f>IF(fin_table[[#This Row],[Account Balance]]&lt;20000,"Active", "Not Active")</f>
        <v>Not Active</v>
      </c>
      <c r="J885" s="5">
        <v>33477.019999999997</v>
      </c>
      <c r="K885" s="5" t="str">
        <f t="shared" si="93"/>
        <v>Medium</v>
      </c>
      <c r="L885" s="6" t="s">
        <v>24</v>
      </c>
      <c r="M885">
        <v>63</v>
      </c>
      <c r="N885" s="6" t="str">
        <f t="shared" si="94"/>
        <v>Seniors</v>
      </c>
      <c r="O885" s="6" t="s">
        <v>42</v>
      </c>
      <c r="P885" s="6" t="s">
        <v>36</v>
      </c>
      <c r="Q885" t="s">
        <v>929</v>
      </c>
      <c r="R885" s="6" t="s">
        <v>38</v>
      </c>
      <c r="S885" s="6" t="s">
        <v>44</v>
      </c>
      <c r="T885" s="14">
        <v>3.3799999999999997E-2</v>
      </c>
      <c r="U885">
        <v>3.38</v>
      </c>
      <c r="V885" t="str">
        <f>IF(fin_table[[#This Row],[Interest Rate(%)]]&gt;4,"high","low")</f>
        <v>low</v>
      </c>
      <c r="W885" s="5">
        <v>5120.07</v>
      </c>
      <c r="X885" s="5">
        <f>fin_table[[#This Row],[Interest Rate]]*fin_table[[#This Row],[Loan Amount]]</f>
        <v>173.05836599999998</v>
      </c>
      <c r="Y885">
        <v>13</v>
      </c>
      <c r="Z885" s="3">
        <v>556</v>
      </c>
      <c r="AA885" s="3" t="str">
        <f t="shared" si="95"/>
        <v>Poor</v>
      </c>
      <c r="AB885" s="3" cm="1">
        <f t="array" ref="AB885">_xlfn.IFS(fin_table[[#This Row],[Transaction Status]]="Failed", 1, fin_table[[#This Row],[Transaction Status]]="Completed",0,fin_table[[#This Row],[Transaction Status]]="Pending",2)</f>
        <v>0</v>
      </c>
      <c r="AC885" s="3" t="str">
        <f>IF(fin_table[[#This Row],[Loan Defaulters]]=1,"Default", "Good")</f>
        <v>Good</v>
      </c>
      <c r="AD885" s="3">
        <f t="shared" si="96"/>
        <v>1</v>
      </c>
      <c r="AE885" s="4">
        <v>14479.18</v>
      </c>
      <c r="AF885" s="4" t="str">
        <f>IF(fin_table[[#This Row],[Monthly Income]]&lt;3000, "Low Income", IF(fin_table[[#This Row],[Monthly Income]]&lt;=5000, "Middle Income", "High Income"))</f>
        <v>High Income</v>
      </c>
      <c r="AG885" t="s">
        <v>63</v>
      </c>
      <c r="AH885" t="s">
        <v>3636</v>
      </c>
      <c r="AI885" t="str">
        <f t="shared" si="97"/>
        <v>Low-Risk</v>
      </c>
    </row>
    <row r="886" spans="1:35" x14ac:dyDescent="0.35">
      <c r="A886" t="s">
        <v>3217</v>
      </c>
      <c r="B886" t="s">
        <v>3218</v>
      </c>
      <c r="C886" t="s">
        <v>3219</v>
      </c>
      <c r="D886" s="1">
        <v>44935</v>
      </c>
      <c r="E886" s="1" t="str">
        <f t="shared" si="91"/>
        <v>09</v>
      </c>
      <c r="F886" s="1" t="str">
        <f t="shared" si="92"/>
        <v>Jan</v>
      </c>
      <c r="G886" s="6" t="s">
        <v>34</v>
      </c>
      <c r="H886" s="5">
        <v>2344.6</v>
      </c>
      <c r="I886" s="5" t="str">
        <f>IF(fin_table[[#This Row],[Account Balance]]&lt;20000,"Active", "Not Active")</f>
        <v>Not Active</v>
      </c>
      <c r="J886" s="5">
        <v>43661.06</v>
      </c>
      <c r="K886" s="5" t="str">
        <f t="shared" si="93"/>
        <v>Medium</v>
      </c>
      <c r="L886" s="6" t="s">
        <v>100</v>
      </c>
      <c r="M886">
        <v>31</v>
      </c>
      <c r="N886" s="6" t="str">
        <f t="shared" si="94"/>
        <v>Adults</v>
      </c>
      <c r="O886" s="6" t="s">
        <v>42</v>
      </c>
      <c r="P886" s="6" t="s">
        <v>26</v>
      </c>
      <c r="Q886" t="s">
        <v>3220</v>
      </c>
      <c r="R886" s="6" t="s">
        <v>52</v>
      </c>
      <c r="S886" s="6" t="s">
        <v>44</v>
      </c>
      <c r="T886" s="14">
        <v>3.5799999999999998E-2</v>
      </c>
      <c r="U886">
        <v>3.58</v>
      </c>
      <c r="V886" t="str">
        <f>IF(fin_table[[#This Row],[Interest Rate(%)]]&gt;4,"high","low")</f>
        <v>low</v>
      </c>
      <c r="W886" s="5">
        <v>26681.654999999999</v>
      </c>
      <c r="X886" s="5">
        <f>fin_table[[#This Row],[Interest Rate]]*fin_table[[#This Row],[Loan Amount]]</f>
        <v>955.20324899999991</v>
      </c>
      <c r="Y886">
        <v>28</v>
      </c>
      <c r="Z886" s="3">
        <v>333</v>
      </c>
      <c r="AA886" s="3" t="str">
        <f t="shared" si="95"/>
        <v>Poor</v>
      </c>
      <c r="AB886" s="3" cm="1">
        <f t="array" ref="AB886">_xlfn.IFS(fin_table[[#This Row],[Transaction Status]]="Failed", 1, fin_table[[#This Row],[Transaction Status]]="Completed",0,fin_table[[#This Row],[Transaction Status]]="Pending",2)</f>
        <v>0</v>
      </c>
      <c r="AC886" s="3" t="str">
        <f>IF(fin_table[[#This Row],[Loan Defaulters]]=1,"Default", "Good")</f>
        <v>Good</v>
      </c>
      <c r="AD886" s="3">
        <f t="shared" si="96"/>
        <v>1</v>
      </c>
      <c r="AE886" s="4">
        <v>6928.13</v>
      </c>
      <c r="AF886" s="4" t="str">
        <f>IF(fin_table[[#This Row],[Monthly Income]]&lt;3000, "Low Income", IF(fin_table[[#This Row],[Monthly Income]]&lt;=5000, "Middle Income", "High Income"))</f>
        <v>High Income</v>
      </c>
      <c r="AG886" t="s">
        <v>30</v>
      </c>
      <c r="AH886" t="s">
        <v>3635</v>
      </c>
      <c r="AI886" t="str">
        <f t="shared" si="97"/>
        <v>Low-Risk</v>
      </c>
    </row>
    <row r="887" spans="1:35" x14ac:dyDescent="0.35">
      <c r="A887" t="s">
        <v>3221</v>
      </c>
      <c r="B887" t="s">
        <v>3222</v>
      </c>
      <c r="C887" t="s">
        <v>3223</v>
      </c>
      <c r="D887" s="1">
        <v>44778</v>
      </c>
      <c r="E887" s="1" t="str">
        <f t="shared" si="91"/>
        <v>05</v>
      </c>
      <c r="F887" s="1" t="str">
        <f t="shared" si="92"/>
        <v>Aug</v>
      </c>
      <c r="G887" s="6" t="s">
        <v>71</v>
      </c>
      <c r="H887" s="5">
        <v>8805.48</v>
      </c>
      <c r="I887" s="5" t="str">
        <f>IF(fin_table[[#This Row],[Account Balance]]&lt;20000,"Active", "Not Active")</f>
        <v>Not Active</v>
      </c>
      <c r="J887" s="5">
        <v>38195.26</v>
      </c>
      <c r="K887" s="5" t="str">
        <f t="shared" si="93"/>
        <v>Medium</v>
      </c>
      <c r="L887" s="6" t="s">
        <v>24</v>
      </c>
      <c r="M887">
        <v>30</v>
      </c>
      <c r="N887" s="6" t="str">
        <f t="shared" si="94"/>
        <v>Adults</v>
      </c>
      <c r="O887" s="6" t="s">
        <v>25</v>
      </c>
      <c r="P887" s="6" t="s">
        <v>26</v>
      </c>
      <c r="Q887" t="s">
        <v>391</v>
      </c>
      <c r="R887" s="6" t="s">
        <v>38</v>
      </c>
      <c r="S887" s="6" t="s">
        <v>44</v>
      </c>
      <c r="T887" s="14">
        <v>2.5899999999999999E-2</v>
      </c>
      <c r="U887">
        <v>2.59</v>
      </c>
      <c r="V887" t="str">
        <f>IF(fin_table[[#This Row],[Interest Rate(%)]]&gt;4,"high","low")</f>
        <v>low</v>
      </c>
      <c r="W887" s="5">
        <v>44772.32</v>
      </c>
      <c r="X887" s="5">
        <f>fin_table[[#This Row],[Interest Rate]]*fin_table[[#This Row],[Loan Amount]]</f>
        <v>1159.6030880000001</v>
      </c>
      <c r="Y887">
        <v>13</v>
      </c>
      <c r="Z887" s="3">
        <v>318</v>
      </c>
      <c r="AA887" s="3" t="str">
        <f t="shared" si="95"/>
        <v>Poor</v>
      </c>
      <c r="AB887" s="3" cm="1">
        <f t="array" ref="AB887">_xlfn.IFS(fin_table[[#This Row],[Transaction Status]]="Failed", 1, fin_table[[#This Row],[Transaction Status]]="Completed",0,fin_table[[#This Row],[Transaction Status]]="Pending",2)</f>
        <v>0</v>
      </c>
      <c r="AC887" s="3" t="str">
        <f>IF(fin_table[[#This Row],[Loan Defaulters]]=1,"Default", "Good")</f>
        <v>Good</v>
      </c>
      <c r="AD887" s="3">
        <f t="shared" si="96"/>
        <v>1</v>
      </c>
      <c r="AE887" s="4">
        <v>2124.61</v>
      </c>
      <c r="AF887" s="4" t="str">
        <f>IF(fin_table[[#This Row],[Monthly Income]]&lt;3000, "Low Income", IF(fin_table[[#This Row],[Monthly Income]]&lt;=5000, "Middle Income", "High Income"))</f>
        <v>Low Income</v>
      </c>
      <c r="AG887" t="s">
        <v>63</v>
      </c>
      <c r="AH887" t="s">
        <v>3636</v>
      </c>
      <c r="AI887" t="str">
        <f t="shared" si="97"/>
        <v>High-Risk</v>
      </c>
    </row>
    <row r="888" spans="1:35" x14ac:dyDescent="0.35">
      <c r="A888" t="s">
        <v>3224</v>
      </c>
      <c r="B888" t="s">
        <v>3225</v>
      </c>
      <c r="C888" t="s">
        <v>3226</v>
      </c>
      <c r="D888" s="1">
        <v>44793</v>
      </c>
      <c r="E888" s="1" t="str">
        <f t="shared" si="91"/>
        <v>20</v>
      </c>
      <c r="F888" s="1" t="str">
        <f t="shared" si="92"/>
        <v>Aug</v>
      </c>
      <c r="G888" s="6" t="s">
        <v>71</v>
      </c>
      <c r="H888" s="5">
        <v>8107.02</v>
      </c>
      <c r="I888" s="5" t="str">
        <f>IF(fin_table[[#This Row],[Account Balance]]&lt;20000,"Active", "Not Active")</f>
        <v>Not Active</v>
      </c>
      <c r="J888" s="5">
        <v>36648.93</v>
      </c>
      <c r="K888" s="5" t="str">
        <f t="shared" si="93"/>
        <v>Medium</v>
      </c>
      <c r="L888" s="6" t="s">
        <v>100</v>
      </c>
      <c r="M888">
        <v>44</v>
      </c>
      <c r="N888" s="6" t="str">
        <f t="shared" si="94"/>
        <v>Middle-Aged</v>
      </c>
      <c r="O888" s="6" t="s">
        <v>25</v>
      </c>
      <c r="P888" s="6" t="s">
        <v>36</v>
      </c>
      <c r="Q888" t="s">
        <v>1040</v>
      </c>
      <c r="R888" s="6" t="s">
        <v>28</v>
      </c>
      <c r="S888" s="6" t="s">
        <v>44</v>
      </c>
      <c r="T888" s="14">
        <v>1.3100000000000001E-2</v>
      </c>
      <c r="U888">
        <v>1.31</v>
      </c>
      <c r="V888" t="str">
        <f>IF(fin_table[[#This Row],[Interest Rate(%)]]&gt;4,"high","low")</f>
        <v>low</v>
      </c>
      <c r="W888" s="5">
        <v>26681.654999999999</v>
      </c>
      <c r="X888" s="5">
        <f>fin_table[[#This Row],[Interest Rate]]*fin_table[[#This Row],[Loan Amount]]</f>
        <v>349.52968049999998</v>
      </c>
      <c r="Y888">
        <v>1</v>
      </c>
      <c r="Z888" s="3">
        <v>559</v>
      </c>
      <c r="AA888" s="3" t="str">
        <f t="shared" si="95"/>
        <v>Poor</v>
      </c>
      <c r="AB888" s="3" cm="1">
        <f t="array" ref="AB888">_xlfn.IFS(fin_table[[#This Row],[Transaction Status]]="Failed", 1, fin_table[[#This Row],[Transaction Status]]="Completed",0,fin_table[[#This Row],[Transaction Status]]="Pending",2)</f>
        <v>0</v>
      </c>
      <c r="AC888" s="3" t="str">
        <f>IF(fin_table[[#This Row],[Loan Defaulters]]=1,"Default", "Good")</f>
        <v>Good</v>
      </c>
      <c r="AD888" s="3">
        <f t="shared" si="96"/>
        <v>1</v>
      </c>
      <c r="AE888" s="4">
        <v>5690</v>
      </c>
      <c r="AF888" s="4" t="str">
        <f>IF(fin_table[[#This Row],[Monthly Income]]&lt;3000, "Low Income", IF(fin_table[[#This Row],[Monthly Income]]&lt;=5000, "Middle Income", "High Income"))</f>
        <v>High Income</v>
      </c>
      <c r="AG888" t="s">
        <v>45</v>
      </c>
      <c r="AH888" t="s">
        <v>3635</v>
      </c>
      <c r="AI888" t="str">
        <f t="shared" si="97"/>
        <v>Low-Risk</v>
      </c>
    </row>
    <row r="889" spans="1:35" x14ac:dyDescent="0.35">
      <c r="A889" t="s">
        <v>3227</v>
      </c>
      <c r="B889" t="s">
        <v>3228</v>
      </c>
      <c r="C889" t="s">
        <v>3229</v>
      </c>
      <c r="D889" s="1">
        <v>44612</v>
      </c>
      <c r="E889" s="1" t="str">
        <f t="shared" si="91"/>
        <v>20</v>
      </c>
      <c r="F889" s="1" t="str">
        <f t="shared" si="92"/>
        <v>Feb</v>
      </c>
      <c r="G889" s="6" t="s">
        <v>34</v>
      </c>
      <c r="H889" s="5">
        <v>6803.81</v>
      </c>
      <c r="I889" s="5" t="str">
        <f>IF(fin_table[[#This Row],[Account Balance]]&lt;20000,"Active", "Not Active")</f>
        <v>Not Active</v>
      </c>
      <c r="J889" s="5">
        <v>24735.17</v>
      </c>
      <c r="K889" s="5" t="str">
        <f t="shared" si="93"/>
        <v>Medium</v>
      </c>
      <c r="L889" s="6" t="s">
        <v>35</v>
      </c>
      <c r="M889">
        <v>23</v>
      </c>
      <c r="N889" s="6" t="str">
        <f t="shared" si="94"/>
        <v>Young Adults</v>
      </c>
      <c r="O889" s="6" t="s">
        <v>42</v>
      </c>
      <c r="P889" s="6" t="s">
        <v>36</v>
      </c>
      <c r="Q889" t="s">
        <v>2593</v>
      </c>
      <c r="R889" s="6" t="s">
        <v>28</v>
      </c>
      <c r="S889" s="6" t="s">
        <v>62</v>
      </c>
      <c r="T889" s="14">
        <v>2.4899999999999999E-2</v>
      </c>
      <c r="U889">
        <v>2.4900000000000002</v>
      </c>
      <c r="V889" t="str">
        <f>IF(fin_table[[#This Row],[Interest Rate(%)]]&gt;4,"high","low")</f>
        <v>low</v>
      </c>
      <c r="W889" s="5">
        <v>26681.654999999999</v>
      </c>
      <c r="X889" s="5">
        <f>fin_table[[#This Row],[Interest Rate]]*fin_table[[#This Row],[Loan Amount]]</f>
        <v>664.37320949999992</v>
      </c>
      <c r="Y889">
        <v>13</v>
      </c>
      <c r="Z889" s="3">
        <v>715</v>
      </c>
      <c r="AA889" s="3" t="str">
        <f t="shared" si="95"/>
        <v>Good</v>
      </c>
      <c r="AB889" s="3" cm="1">
        <f t="array" ref="AB889">_xlfn.IFS(fin_table[[#This Row],[Transaction Status]]="Failed", 1, fin_table[[#This Row],[Transaction Status]]="Completed",0,fin_table[[#This Row],[Transaction Status]]="Pending",2)</f>
        <v>2</v>
      </c>
      <c r="AC889" s="3" t="str">
        <f>IF(fin_table[[#This Row],[Loan Defaulters]]=1,"Default", "Good")</f>
        <v>Good</v>
      </c>
      <c r="AD889" s="3">
        <f t="shared" si="96"/>
        <v>3</v>
      </c>
      <c r="AE889" s="4">
        <v>3550.89</v>
      </c>
      <c r="AF889" s="4" t="str">
        <f>IF(fin_table[[#This Row],[Monthly Income]]&lt;3000, "Low Income", IF(fin_table[[#This Row],[Monthly Income]]&lt;=5000, "Middle Income", "High Income"))</f>
        <v>Middle Income</v>
      </c>
      <c r="AG889" t="s">
        <v>45</v>
      </c>
      <c r="AH889" t="s">
        <v>3635</v>
      </c>
      <c r="AI889" t="str">
        <f t="shared" si="97"/>
        <v>Low-Risk</v>
      </c>
    </row>
    <row r="890" spans="1:35" x14ac:dyDescent="0.35">
      <c r="A890" t="s">
        <v>3230</v>
      </c>
      <c r="B890" t="s">
        <v>3231</v>
      </c>
      <c r="C890" t="s">
        <v>3232</v>
      </c>
      <c r="D890" s="1">
        <v>44593</v>
      </c>
      <c r="E890" s="1" t="str">
        <f t="shared" si="91"/>
        <v>01</v>
      </c>
      <c r="F890" s="1" t="str">
        <f t="shared" si="92"/>
        <v>Feb</v>
      </c>
      <c r="G890" s="6" t="s">
        <v>34</v>
      </c>
      <c r="H890" s="5">
        <v>6287.79</v>
      </c>
      <c r="I890" s="5" t="str">
        <f>IF(fin_table[[#This Row],[Account Balance]]&lt;20000,"Active", "Not Active")</f>
        <v>Not Active</v>
      </c>
      <c r="J890" s="5">
        <v>34996.47</v>
      </c>
      <c r="K890" s="5" t="str">
        <f t="shared" si="93"/>
        <v>Medium</v>
      </c>
      <c r="L890" s="6" t="s">
        <v>49</v>
      </c>
      <c r="M890">
        <v>34</v>
      </c>
      <c r="N890" s="6" t="str">
        <f t="shared" si="94"/>
        <v>Adults</v>
      </c>
      <c r="O890" s="6" t="s">
        <v>42</v>
      </c>
      <c r="P890" s="6" t="s">
        <v>36</v>
      </c>
      <c r="Q890" t="s">
        <v>1544</v>
      </c>
      <c r="R890" s="6" t="s">
        <v>38</v>
      </c>
      <c r="S890" s="6" t="s">
        <v>29</v>
      </c>
      <c r="T890" s="14">
        <v>3.7600000000000001E-2</v>
      </c>
      <c r="U890">
        <v>3.76</v>
      </c>
      <c r="V890" t="str">
        <f>IF(fin_table[[#This Row],[Interest Rate(%)]]&gt;4,"high","low")</f>
        <v>low</v>
      </c>
      <c r="W890" s="5">
        <v>16376.4</v>
      </c>
      <c r="X890" s="5">
        <f>fin_table[[#This Row],[Interest Rate]]*fin_table[[#This Row],[Loan Amount]]</f>
        <v>615.75264000000004</v>
      </c>
      <c r="Y890">
        <v>13</v>
      </c>
      <c r="Z890" s="3">
        <v>436</v>
      </c>
      <c r="AA890" s="3" t="str">
        <f t="shared" si="95"/>
        <v>Poor</v>
      </c>
      <c r="AB890" s="3" cm="1">
        <f t="array" ref="AB890">_xlfn.IFS(fin_table[[#This Row],[Transaction Status]]="Failed", 1, fin_table[[#This Row],[Transaction Status]]="Completed",0,fin_table[[#This Row],[Transaction Status]]="Pending",2)</f>
        <v>1</v>
      </c>
      <c r="AC890" s="3" t="str">
        <f>IF(fin_table[[#This Row],[Loan Defaulters]]=1,"Default", "Good")</f>
        <v>Default</v>
      </c>
      <c r="AD890" s="3">
        <f t="shared" si="96"/>
        <v>1</v>
      </c>
      <c r="AE890" s="4">
        <v>3336.51</v>
      </c>
      <c r="AF890" s="4" t="str">
        <f>IF(fin_table[[#This Row],[Monthly Income]]&lt;3000, "Low Income", IF(fin_table[[#This Row],[Monthly Income]]&lt;=5000, "Middle Income", "High Income"))</f>
        <v>Middle Income</v>
      </c>
      <c r="AG890" t="s">
        <v>30</v>
      </c>
      <c r="AH890" t="s">
        <v>3636</v>
      </c>
      <c r="AI890" t="str">
        <f t="shared" si="97"/>
        <v>Low-Risk</v>
      </c>
    </row>
    <row r="891" spans="1:35" x14ac:dyDescent="0.35">
      <c r="A891" t="s">
        <v>3233</v>
      </c>
      <c r="B891" t="s">
        <v>2810</v>
      </c>
      <c r="C891" t="s">
        <v>3234</v>
      </c>
      <c r="D891" s="1">
        <v>44953</v>
      </c>
      <c r="E891" s="1" t="str">
        <f t="shared" si="91"/>
        <v>27</v>
      </c>
      <c r="F891" s="1" t="str">
        <f t="shared" si="92"/>
        <v>Jan</v>
      </c>
      <c r="G891" s="6" t="s">
        <v>23</v>
      </c>
      <c r="H891" s="5">
        <v>3233.84</v>
      </c>
      <c r="I891" s="5" t="str">
        <f>IF(fin_table[[#This Row],[Account Balance]]&lt;20000,"Active", "Not Active")</f>
        <v>Not Active</v>
      </c>
      <c r="J891" s="5">
        <v>28085.360000000001</v>
      </c>
      <c r="K891" s="5" t="str">
        <f t="shared" si="93"/>
        <v>Medium</v>
      </c>
      <c r="L891" s="6" t="s">
        <v>125</v>
      </c>
      <c r="M891">
        <v>53</v>
      </c>
      <c r="N891" s="6" t="str">
        <f t="shared" si="94"/>
        <v>Older Adults</v>
      </c>
      <c r="O891" s="6" t="s">
        <v>25</v>
      </c>
      <c r="P891" s="6" t="s">
        <v>36</v>
      </c>
      <c r="Q891" t="s">
        <v>1716</v>
      </c>
      <c r="R891" s="6" t="s">
        <v>52</v>
      </c>
      <c r="S891" s="6" t="s">
        <v>29</v>
      </c>
      <c r="T891" s="14">
        <v>3.6799999999999999E-2</v>
      </c>
      <c r="U891">
        <v>3.68</v>
      </c>
      <c r="V891" t="str">
        <f>IF(fin_table[[#This Row],[Interest Rate(%)]]&gt;4,"high","low")</f>
        <v>low</v>
      </c>
      <c r="W891" s="5">
        <v>39144.81</v>
      </c>
      <c r="X891" s="5">
        <f>fin_table[[#This Row],[Interest Rate]]*fin_table[[#This Row],[Loan Amount]]</f>
        <v>1440.529008</v>
      </c>
      <c r="Y891">
        <v>13</v>
      </c>
      <c r="Z891" s="3">
        <v>658</v>
      </c>
      <c r="AA891" s="3" t="str">
        <f t="shared" si="95"/>
        <v>Fair</v>
      </c>
      <c r="AB891" s="3" cm="1">
        <f t="array" ref="AB891">_xlfn.IFS(fin_table[[#This Row],[Transaction Status]]="Failed", 1, fin_table[[#This Row],[Transaction Status]]="Completed",0,fin_table[[#This Row],[Transaction Status]]="Pending",2)</f>
        <v>1</v>
      </c>
      <c r="AC891" s="3" t="str">
        <f>IF(fin_table[[#This Row],[Loan Defaulters]]=1,"Default", "Good")</f>
        <v>Default</v>
      </c>
      <c r="AD891" s="3">
        <f t="shared" si="96"/>
        <v>2</v>
      </c>
      <c r="AE891" s="4">
        <v>3007.33</v>
      </c>
      <c r="AF891" s="4" t="str">
        <f>IF(fin_table[[#This Row],[Monthly Income]]&lt;3000, "Low Income", IF(fin_table[[#This Row],[Monthly Income]]&lt;=5000, "Middle Income", "High Income"))</f>
        <v>Middle Income</v>
      </c>
      <c r="AG891" t="s">
        <v>30</v>
      </c>
      <c r="AH891" t="s">
        <v>3636</v>
      </c>
      <c r="AI891" t="str">
        <f t="shared" si="97"/>
        <v>Low-Risk</v>
      </c>
    </row>
    <row r="892" spans="1:35" x14ac:dyDescent="0.35">
      <c r="A892" t="s">
        <v>3235</v>
      </c>
      <c r="B892" t="s">
        <v>3236</v>
      </c>
      <c r="C892" t="s">
        <v>3237</v>
      </c>
      <c r="D892" s="1">
        <v>45116</v>
      </c>
      <c r="E892" s="1" t="str">
        <f t="shared" si="91"/>
        <v>09</v>
      </c>
      <c r="F892" s="1" t="str">
        <f t="shared" si="92"/>
        <v>Jul</v>
      </c>
      <c r="G892" s="6" t="s">
        <v>71</v>
      </c>
      <c r="H892" s="5">
        <v>8182.47</v>
      </c>
      <c r="I892" s="5" t="str">
        <f>IF(fin_table[[#This Row],[Account Balance]]&lt;20000,"Active", "Not Active")</f>
        <v>Active</v>
      </c>
      <c r="J892" s="5">
        <v>11596.28</v>
      </c>
      <c r="K892" s="5" t="str">
        <f t="shared" si="93"/>
        <v>Medium</v>
      </c>
      <c r="L892" s="6" t="s">
        <v>49</v>
      </c>
      <c r="M892">
        <v>57</v>
      </c>
      <c r="N892" s="6" t="str">
        <f t="shared" si="94"/>
        <v>Older Adults</v>
      </c>
      <c r="O892" s="6" t="s">
        <v>25</v>
      </c>
      <c r="P892" s="6" t="s">
        <v>50</v>
      </c>
      <c r="Q892" t="s">
        <v>2287</v>
      </c>
      <c r="R892" s="6" t="s">
        <v>52</v>
      </c>
      <c r="S892" s="6" t="s">
        <v>44</v>
      </c>
      <c r="T892" s="14">
        <v>1.6400000000000001E-2</v>
      </c>
      <c r="U892">
        <v>1.64</v>
      </c>
      <c r="V892" t="str">
        <f>IF(fin_table[[#This Row],[Interest Rate(%)]]&gt;4,"high","low")</f>
        <v>low</v>
      </c>
      <c r="W892" s="5">
        <v>30250.39</v>
      </c>
      <c r="X892" s="5">
        <f>fin_table[[#This Row],[Interest Rate]]*fin_table[[#This Row],[Loan Amount]]</f>
        <v>496.10639600000002</v>
      </c>
      <c r="Y892">
        <v>13</v>
      </c>
      <c r="Z892" s="3">
        <v>415</v>
      </c>
      <c r="AA892" s="3" t="str">
        <f t="shared" si="95"/>
        <v>Poor</v>
      </c>
      <c r="AB892" s="3" cm="1">
        <f t="array" ref="AB892">_xlfn.IFS(fin_table[[#This Row],[Transaction Status]]="Failed", 1, fin_table[[#This Row],[Transaction Status]]="Completed",0,fin_table[[#This Row],[Transaction Status]]="Pending",2)</f>
        <v>0</v>
      </c>
      <c r="AC892" s="3" t="str">
        <f>IF(fin_table[[#This Row],[Loan Defaulters]]=1,"Default", "Good")</f>
        <v>Good</v>
      </c>
      <c r="AD892" s="3">
        <f t="shared" si="96"/>
        <v>1</v>
      </c>
      <c r="AE892" s="4">
        <v>9712.3700000000008</v>
      </c>
      <c r="AF892" s="4" t="str">
        <f>IF(fin_table[[#This Row],[Monthly Income]]&lt;3000, "Low Income", IF(fin_table[[#This Row],[Monthly Income]]&lt;=5000, "Middle Income", "High Income"))</f>
        <v>High Income</v>
      </c>
      <c r="AG892" t="s">
        <v>30</v>
      </c>
      <c r="AH892" t="s">
        <v>3636</v>
      </c>
      <c r="AI892" t="str">
        <f t="shared" si="97"/>
        <v>Low-Risk</v>
      </c>
    </row>
    <row r="893" spans="1:35" x14ac:dyDescent="0.35">
      <c r="A893" t="s">
        <v>3238</v>
      </c>
      <c r="B893" t="s">
        <v>3239</v>
      </c>
      <c r="C893" t="s">
        <v>3240</v>
      </c>
      <c r="D893" s="1">
        <v>45125</v>
      </c>
      <c r="E893" s="1" t="str">
        <f t="shared" si="91"/>
        <v>18</v>
      </c>
      <c r="F893" s="1" t="str">
        <f t="shared" si="92"/>
        <v>Jul</v>
      </c>
      <c r="G893" s="6" t="s">
        <v>34</v>
      </c>
      <c r="H893" s="5">
        <v>5065</v>
      </c>
      <c r="I893" s="5" t="str">
        <f>IF(fin_table[[#This Row],[Account Balance]]&lt;20000,"Active", "Not Active")</f>
        <v>Active</v>
      </c>
      <c r="J893" s="5">
        <v>11220.83</v>
      </c>
      <c r="K893" s="5" t="str">
        <f t="shared" si="93"/>
        <v>Medium</v>
      </c>
      <c r="L893" s="6" t="s">
        <v>35</v>
      </c>
      <c r="M893">
        <v>66</v>
      </c>
      <c r="N893" s="6" t="str">
        <f t="shared" si="94"/>
        <v>Seniors</v>
      </c>
      <c r="O893" s="6" t="s">
        <v>25</v>
      </c>
      <c r="P893" s="6" t="s">
        <v>50</v>
      </c>
      <c r="Q893" t="s">
        <v>457</v>
      </c>
      <c r="R893" s="6" t="s">
        <v>28</v>
      </c>
      <c r="S893" s="6" t="s">
        <v>44</v>
      </c>
      <c r="T893" s="14">
        <v>1.03E-2</v>
      </c>
      <c r="U893">
        <v>1.03</v>
      </c>
      <c r="V893" t="str">
        <f>IF(fin_table[[#This Row],[Interest Rate(%)]]&gt;4,"high","low")</f>
        <v>low</v>
      </c>
      <c r="W893" s="5">
        <v>18510.150000000001</v>
      </c>
      <c r="X893" s="5">
        <f>fin_table[[#This Row],[Interest Rate]]*fin_table[[#This Row],[Loan Amount]]</f>
        <v>190.65454500000001</v>
      </c>
      <c r="Y893">
        <v>13</v>
      </c>
      <c r="Z893" s="3">
        <v>703</v>
      </c>
      <c r="AA893" s="3" t="str">
        <f t="shared" si="95"/>
        <v>Good</v>
      </c>
      <c r="AB893" s="3" cm="1">
        <f t="array" ref="AB893">_xlfn.IFS(fin_table[[#This Row],[Transaction Status]]="Failed", 1, fin_table[[#This Row],[Transaction Status]]="Completed",0,fin_table[[#This Row],[Transaction Status]]="Pending",2)</f>
        <v>0</v>
      </c>
      <c r="AC893" s="3" t="str">
        <f>IF(fin_table[[#This Row],[Loan Defaulters]]=1,"Default", "Good")</f>
        <v>Good</v>
      </c>
      <c r="AD893" s="3">
        <f t="shared" si="96"/>
        <v>3</v>
      </c>
      <c r="AE893" s="4">
        <v>4461.5200000000004</v>
      </c>
      <c r="AF893" s="4" t="str">
        <f>IF(fin_table[[#This Row],[Monthly Income]]&lt;3000, "Low Income", IF(fin_table[[#This Row],[Monthly Income]]&lt;=5000, "Middle Income", "High Income"))</f>
        <v>Middle Income</v>
      </c>
      <c r="AG893" t="s">
        <v>30</v>
      </c>
      <c r="AH893" t="s">
        <v>3636</v>
      </c>
      <c r="AI893" t="str">
        <f t="shared" si="97"/>
        <v>Low-Risk</v>
      </c>
    </row>
    <row r="894" spans="1:35" x14ac:dyDescent="0.35">
      <c r="A894" t="s">
        <v>3241</v>
      </c>
      <c r="B894" t="s">
        <v>3242</v>
      </c>
      <c r="C894" t="s">
        <v>3243</v>
      </c>
      <c r="D894" s="1">
        <v>44839</v>
      </c>
      <c r="E894" s="1" t="str">
        <f t="shared" si="91"/>
        <v>05</v>
      </c>
      <c r="F894" s="1" t="str">
        <f t="shared" si="92"/>
        <v>Oct</v>
      </c>
      <c r="G894" s="6" t="s">
        <v>34</v>
      </c>
      <c r="H894" s="5">
        <v>801.83</v>
      </c>
      <c r="I894" s="5" t="str">
        <f>IF(fin_table[[#This Row],[Account Balance]]&lt;20000,"Active", "Not Active")</f>
        <v>Active</v>
      </c>
      <c r="J894" s="5">
        <v>15523.21</v>
      </c>
      <c r="K894" s="5" t="str">
        <f t="shared" si="93"/>
        <v>Medium</v>
      </c>
      <c r="L894" s="6" t="s">
        <v>100</v>
      </c>
      <c r="M894">
        <v>52</v>
      </c>
      <c r="N894" s="6" t="str">
        <f t="shared" si="94"/>
        <v>Older Adults</v>
      </c>
      <c r="O894" s="6" t="s">
        <v>25</v>
      </c>
      <c r="P894" s="6" t="s">
        <v>26</v>
      </c>
      <c r="Q894" t="s">
        <v>3220</v>
      </c>
      <c r="R894" s="6" t="s">
        <v>28</v>
      </c>
      <c r="S894" s="6" t="s">
        <v>29</v>
      </c>
      <c r="T894" s="14">
        <v>4.0099999999999997E-2</v>
      </c>
      <c r="U894">
        <v>4.01</v>
      </c>
      <c r="V894" t="str">
        <f>IF(fin_table[[#This Row],[Interest Rate(%)]]&gt;4,"high","low")</f>
        <v>high</v>
      </c>
      <c r="W894" s="5">
        <v>26681.654999999999</v>
      </c>
      <c r="X894" s="5">
        <f>fin_table[[#This Row],[Interest Rate]]*fin_table[[#This Row],[Loan Amount]]</f>
        <v>1069.9343654999998</v>
      </c>
      <c r="Y894">
        <v>13</v>
      </c>
      <c r="Z894" s="3">
        <v>501</v>
      </c>
      <c r="AA894" s="3" t="str">
        <f t="shared" si="95"/>
        <v>Poor</v>
      </c>
      <c r="AB894" s="3" cm="1">
        <f t="array" ref="AB894">_xlfn.IFS(fin_table[[#This Row],[Transaction Status]]="Failed", 1, fin_table[[#This Row],[Transaction Status]]="Completed",0,fin_table[[#This Row],[Transaction Status]]="Pending",2)</f>
        <v>1</v>
      </c>
      <c r="AC894" s="3" t="str">
        <f>IF(fin_table[[#This Row],[Loan Defaulters]]=1,"Default", "Good")</f>
        <v>Default</v>
      </c>
      <c r="AD894" s="3">
        <f t="shared" si="96"/>
        <v>1</v>
      </c>
      <c r="AE894" s="4">
        <v>6696.16</v>
      </c>
      <c r="AF894" s="4" t="str">
        <f>IF(fin_table[[#This Row],[Monthly Income]]&lt;3000, "Low Income", IF(fin_table[[#This Row],[Monthly Income]]&lt;=5000, "Middle Income", "High Income"))</f>
        <v>High Income</v>
      </c>
      <c r="AG894" t="s">
        <v>45</v>
      </c>
      <c r="AH894" t="s">
        <v>3635</v>
      </c>
      <c r="AI894" t="str">
        <f t="shared" si="97"/>
        <v>Low-Risk</v>
      </c>
    </row>
    <row r="895" spans="1:35" x14ac:dyDescent="0.35">
      <c r="A895" t="s">
        <v>3244</v>
      </c>
      <c r="B895" t="s">
        <v>2161</v>
      </c>
      <c r="C895" t="s">
        <v>3245</v>
      </c>
      <c r="D895" s="1">
        <v>44676</v>
      </c>
      <c r="E895" s="1" t="str">
        <f t="shared" si="91"/>
        <v>25</v>
      </c>
      <c r="F895" s="1" t="str">
        <f t="shared" si="92"/>
        <v>Apr</v>
      </c>
      <c r="G895" s="6" t="s">
        <v>34</v>
      </c>
      <c r="H895" s="5">
        <v>3197.35</v>
      </c>
      <c r="I895" s="5" t="str">
        <f>IF(fin_table[[#This Row],[Account Balance]]&lt;20000,"Active", "Not Active")</f>
        <v>Not Active</v>
      </c>
      <c r="J895" s="5">
        <v>45629.33</v>
      </c>
      <c r="K895" s="5" t="str">
        <f t="shared" si="93"/>
        <v>Medium</v>
      </c>
      <c r="L895" s="6" t="s">
        <v>49</v>
      </c>
      <c r="M895">
        <v>34</v>
      </c>
      <c r="N895" s="6" t="str">
        <f t="shared" si="94"/>
        <v>Adults</v>
      </c>
      <c r="O895" s="6" t="s">
        <v>42</v>
      </c>
      <c r="P895" s="6" t="s">
        <v>50</v>
      </c>
      <c r="Q895" t="s">
        <v>226</v>
      </c>
      <c r="R895" s="6" t="s">
        <v>52</v>
      </c>
      <c r="S895" s="6" t="s">
        <v>62</v>
      </c>
      <c r="T895" s="14">
        <v>1.43E-2</v>
      </c>
      <c r="U895">
        <v>1.43</v>
      </c>
      <c r="V895" t="str">
        <f>IF(fin_table[[#This Row],[Interest Rate(%)]]&gt;4,"high","low")</f>
        <v>low</v>
      </c>
      <c r="W895" s="5">
        <v>26681.654999999999</v>
      </c>
      <c r="X895" s="5">
        <f>fin_table[[#This Row],[Interest Rate]]*fin_table[[#This Row],[Loan Amount]]</f>
        <v>381.54766649999999</v>
      </c>
      <c r="Y895">
        <v>13</v>
      </c>
      <c r="Z895" s="3">
        <v>675</v>
      </c>
      <c r="AA895" s="3" t="str">
        <f t="shared" si="95"/>
        <v>Good</v>
      </c>
      <c r="AB895" s="3" cm="1">
        <f t="array" ref="AB895">_xlfn.IFS(fin_table[[#This Row],[Transaction Status]]="Failed", 1, fin_table[[#This Row],[Transaction Status]]="Completed",0,fin_table[[#This Row],[Transaction Status]]="Pending",2)</f>
        <v>2</v>
      </c>
      <c r="AC895" s="3" t="str">
        <f>IF(fin_table[[#This Row],[Loan Defaulters]]=1,"Default", "Good")</f>
        <v>Good</v>
      </c>
      <c r="AD895" s="3">
        <f t="shared" si="96"/>
        <v>3</v>
      </c>
      <c r="AE895" s="4">
        <v>13206.23</v>
      </c>
      <c r="AF895" s="4" t="str">
        <f>IF(fin_table[[#This Row],[Monthly Income]]&lt;3000, "Low Income", IF(fin_table[[#This Row],[Monthly Income]]&lt;=5000, "Middle Income", "High Income"))</f>
        <v>High Income</v>
      </c>
      <c r="AG895" t="s">
        <v>30</v>
      </c>
      <c r="AH895" t="s">
        <v>3635</v>
      </c>
      <c r="AI895" t="str">
        <f t="shared" si="97"/>
        <v>Low-Risk</v>
      </c>
    </row>
    <row r="896" spans="1:35" x14ac:dyDescent="0.35">
      <c r="A896" t="s">
        <v>3246</v>
      </c>
      <c r="B896" t="s">
        <v>3247</v>
      </c>
      <c r="C896" t="s">
        <v>3248</v>
      </c>
      <c r="D896" s="1">
        <v>44978</v>
      </c>
      <c r="E896" s="1" t="str">
        <f t="shared" si="91"/>
        <v>21</v>
      </c>
      <c r="F896" s="1" t="str">
        <f t="shared" si="92"/>
        <v>Feb</v>
      </c>
      <c r="G896" s="6" t="s">
        <v>23</v>
      </c>
      <c r="H896" s="5">
        <v>9359.44</v>
      </c>
      <c r="I896" s="5" t="str">
        <f>IF(fin_table[[#This Row],[Account Balance]]&lt;20000,"Active", "Not Active")</f>
        <v>Not Active</v>
      </c>
      <c r="J896" s="5">
        <v>27823.33</v>
      </c>
      <c r="K896" s="5" t="str">
        <f t="shared" si="93"/>
        <v>Medium</v>
      </c>
      <c r="L896" s="6" t="s">
        <v>35</v>
      </c>
      <c r="M896">
        <v>58</v>
      </c>
      <c r="N896" s="6" t="str">
        <f t="shared" si="94"/>
        <v>Older Adults</v>
      </c>
      <c r="O896" s="6" t="s">
        <v>42</v>
      </c>
      <c r="P896" s="6" t="s">
        <v>26</v>
      </c>
      <c r="Q896" t="s">
        <v>3249</v>
      </c>
      <c r="R896" s="6" t="s">
        <v>38</v>
      </c>
      <c r="S896" s="6" t="s">
        <v>29</v>
      </c>
      <c r="T896" s="14">
        <v>1.3299999999999999E-2</v>
      </c>
      <c r="U896">
        <v>1.33</v>
      </c>
      <c r="V896" t="str">
        <f>IF(fin_table[[#This Row],[Interest Rate(%)]]&gt;4,"high","low")</f>
        <v>low</v>
      </c>
      <c r="W896" s="5">
        <v>45774.39</v>
      </c>
      <c r="X896" s="5">
        <f>fin_table[[#This Row],[Interest Rate]]*fin_table[[#This Row],[Loan Amount]]</f>
        <v>608.79938699999991</v>
      </c>
      <c r="Y896">
        <v>13</v>
      </c>
      <c r="Z896" s="3">
        <v>549</v>
      </c>
      <c r="AA896" s="3" t="str">
        <f t="shared" si="95"/>
        <v>Poor</v>
      </c>
      <c r="AB896" s="3" cm="1">
        <f t="array" ref="AB896">_xlfn.IFS(fin_table[[#This Row],[Transaction Status]]="Failed", 1, fin_table[[#This Row],[Transaction Status]]="Completed",0,fin_table[[#This Row],[Transaction Status]]="Pending",2)</f>
        <v>1</v>
      </c>
      <c r="AC896" s="3" t="str">
        <f>IF(fin_table[[#This Row],[Loan Defaulters]]=1,"Default", "Good")</f>
        <v>Default</v>
      </c>
      <c r="AD896" s="3">
        <f t="shared" si="96"/>
        <v>1</v>
      </c>
      <c r="AE896" s="4">
        <v>7516.4</v>
      </c>
      <c r="AF896" s="4" t="str">
        <f>IF(fin_table[[#This Row],[Monthly Income]]&lt;3000, "Low Income", IF(fin_table[[#This Row],[Monthly Income]]&lt;=5000, "Middle Income", "High Income"))</f>
        <v>High Income</v>
      </c>
      <c r="AG896" t="s">
        <v>63</v>
      </c>
      <c r="AH896" t="s">
        <v>3636</v>
      </c>
      <c r="AI896" t="str">
        <f t="shared" si="97"/>
        <v>High-Risk</v>
      </c>
    </row>
    <row r="897" spans="1:35" x14ac:dyDescent="0.35">
      <c r="A897" t="s">
        <v>3250</v>
      </c>
      <c r="B897" t="s">
        <v>3251</v>
      </c>
      <c r="C897" t="s">
        <v>3252</v>
      </c>
      <c r="D897" s="1">
        <v>45077</v>
      </c>
      <c r="E897" s="1" t="str">
        <f t="shared" si="91"/>
        <v>31</v>
      </c>
      <c r="F897" s="1" t="str">
        <f t="shared" si="92"/>
        <v>May</v>
      </c>
      <c r="G897" s="6" t="s">
        <v>23</v>
      </c>
      <c r="H897" s="5">
        <v>8521.73</v>
      </c>
      <c r="I897" s="5" t="str">
        <f>IF(fin_table[[#This Row],[Account Balance]]&lt;20000,"Active", "Not Active")</f>
        <v>Not Active</v>
      </c>
      <c r="J897" s="5">
        <v>36961.360000000001</v>
      </c>
      <c r="K897" s="5" t="str">
        <f t="shared" si="93"/>
        <v>Medium</v>
      </c>
      <c r="L897" s="6" t="s">
        <v>24</v>
      </c>
      <c r="M897">
        <v>19</v>
      </c>
      <c r="N897" s="6" t="str">
        <f t="shared" si="94"/>
        <v>Young Adults</v>
      </c>
      <c r="O897" s="6" t="s">
        <v>25</v>
      </c>
      <c r="P897" s="6" t="s">
        <v>50</v>
      </c>
      <c r="Q897" t="s">
        <v>406</v>
      </c>
      <c r="R897" s="6" t="s">
        <v>38</v>
      </c>
      <c r="S897" s="6" t="s">
        <v>44</v>
      </c>
      <c r="T897" s="14">
        <v>1.01E-2</v>
      </c>
      <c r="U897">
        <v>1.01</v>
      </c>
      <c r="V897" t="str">
        <f>IF(fin_table[[#This Row],[Interest Rate(%)]]&gt;4,"high","low")</f>
        <v>low</v>
      </c>
      <c r="W897" s="5">
        <v>26681.654999999999</v>
      </c>
      <c r="X897" s="5">
        <f>fin_table[[#This Row],[Interest Rate]]*fin_table[[#This Row],[Loan Amount]]</f>
        <v>269.48471549999999</v>
      </c>
      <c r="Y897">
        <v>13</v>
      </c>
      <c r="Z897" s="3">
        <v>745</v>
      </c>
      <c r="AA897" s="3" t="str">
        <f t="shared" si="95"/>
        <v>Very Good</v>
      </c>
      <c r="AB897" s="3" cm="1">
        <f t="array" ref="AB897">_xlfn.IFS(fin_table[[#This Row],[Transaction Status]]="Failed", 1, fin_table[[#This Row],[Transaction Status]]="Completed",0,fin_table[[#This Row],[Transaction Status]]="Pending",2)</f>
        <v>0</v>
      </c>
      <c r="AC897" s="3" t="str">
        <f>IF(fin_table[[#This Row],[Loan Defaulters]]=1,"Default", "Good")</f>
        <v>Good</v>
      </c>
      <c r="AD897" s="3">
        <f t="shared" si="96"/>
        <v>4</v>
      </c>
      <c r="AE897" s="4">
        <v>13903.99</v>
      </c>
      <c r="AF897" s="4" t="str">
        <f>IF(fin_table[[#This Row],[Monthly Income]]&lt;3000, "Low Income", IF(fin_table[[#This Row],[Monthly Income]]&lt;=5000, "Middle Income", "High Income"))</f>
        <v>High Income</v>
      </c>
      <c r="AG897" t="s">
        <v>30</v>
      </c>
      <c r="AH897" t="s">
        <v>3635</v>
      </c>
      <c r="AI897" t="str">
        <f t="shared" si="97"/>
        <v>Low-Risk</v>
      </c>
    </row>
    <row r="898" spans="1:35" x14ac:dyDescent="0.35">
      <c r="A898" t="s">
        <v>3253</v>
      </c>
      <c r="B898" t="s">
        <v>3254</v>
      </c>
      <c r="C898" t="s">
        <v>3255</v>
      </c>
      <c r="D898" s="1">
        <v>44923</v>
      </c>
      <c r="E898" s="1" t="str">
        <f t="shared" ref="E898:E961" si="98">TEXT(D898, "DD")</f>
        <v>28</v>
      </c>
      <c r="F898" s="1" t="str">
        <f t="shared" ref="F898:F961" si="99">TEXT(D898, "MMM")</f>
        <v>Dec</v>
      </c>
      <c r="G898" s="6" t="s">
        <v>56</v>
      </c>
      <c r="H898" s="5">
        <v>9820.8700000000008</v>
      </c>
      <c r="I898" s="5" t="str">
        <f>IF(fin_table[[#This Row],[Account Balance]]&lt;20000,"Active", "Not Active")</f>
        <v>Active</v>
      </c>
      <c r="J898" s="5">
        <v>17981.38</v>
      </c>
      <c r="K898" s="5" t="str">
        <f t="shared" ref="K898:K961" si="100">IF(J898&lt;10000, "Low", IF(J898&lt;50000, "Medium", "High"))</f>
        <v>Medium</v>
      </c>
      <c r="L898" s="6" t="s">
        <v>125</v>
      </c>
      <c r="M898">
        <v>30</v>
      </c>
      <c r="N898" s="6" t="str">
        <f t="shared" ref="N898:N961" si="101">IF(M898&lt;18, "Teenagers", IF(M898&lt;=25, "Young Adults", IF(M898&lt;=35, "Adults", IF(M898&lt;=45, "Middle-Aged", IF(M898&lt;=60, "Older Adults", "Seniors")))))</f>
        <v>Adults</v>
      </c>
      <c r="O898" s="6" t="s">
        <v>25</v>
      </c>
      <c r="P898" s="6" t="s">
        <v>36</v>
      </c>
      <c r="Q898" t="s">
        <v>682</v>
      </c>
      <c r="R898" s="6" t="s">
        <v>38</v>
      </c>
      <c r="S898" s="6" t="s">
        <v>44</v>
      </c>
      <c r="T898" s="14">
        <v>2.7300000000000001E-2</v>
      </c>
      <c r="U898">
        <v>2.73</v>
      </c>
      <c r="V898" t="str">
        <f>IF(fin_table[[#This Row],[Interest Rate(%)]]&gt;4,"high","low")</f>
        <v>low</v>
      </c>
      <c r="W898" s="5">
        <v>26681.654999999999</v>
      </c>
      <c r="X898" s="5">
        <f>fin_table[[#This Row],[Interest Rate]]*fin_table[[#This Row],[Loan Amount]]</f>
        <v>728.40918150000005</v>
      </c>
      <c r="Y898">
        <v>19</v>
      </c>
      <c r="Z898" s="3">
        <v>577</v>
      </c>
      <c r="AA898" s="3" t="str">
        <f t="shared" ref="AA898:AA961" si="102">IF(Z898&lt;580, "Poor", IF(Z898&lt;670, "Fair", IF(Z898&lt;740, "Good", IF(Z898&lt;800, "Very Good", "Excellent"))))</f>
        <v>Poor</v>
      </c>
      <c r="AB898" s="3" cm="1">
        <f t="array" ref="AB898">_xlfn.IFS(fin_table[[#This Row],[Transaction Status]]="Failed", 1, fin_table[[#This Row],[Transaction Status]]="Completed",0,fin_table[[#This Row],[Transaction Status]]="Pending",2)</f>
        <v>0</v>
      </c>
      <c r="AC898" s="3" t="str">
        <f>IF(fin_table[[#This Row],[Loan Defaulters]]=1,"Default", "Good")</f>
        <v>Good</v>
      </c>
      <c r="AD898" s="3">
        <f t="shared" ref="AD898:AD961" si="103">IF(AA898="Poor", 1, IF(AA898="Fair", 2, IF(AA898="Good", 3, IF(AA898="Very Good", 4, IF(AA898="Excellent", 5, "")))))</f>
        <v>1</v>
      </c>
      <c r="AE898" s="4">
        <v>8473.19</v>
      </c>
      <c r="AF898" s="4" t="str">
        <f>IF(fin_table[[#This Row],[Monthly Income]]&lt;3000, "Low Income", IF(fin_table[[#This Row],[Monthly Income]]&lt;=5000, "Middle Income", "High Income"))</f>
        <v>High Income</v>
      </c>
      <c r="AG898" t="s">
        <v>30</v>
      </c>
      <c r="AH898" t="s">
        <v>3635</v>
      </c>
      <c r="AI898" t="str">
        <f t="shared" ref="AI898:AI961" si="104">IF(AND(W898&gt;33000, Z898&lt;600), "High-Risk", "Low-Risk")</f>
        <v>Low-Risk</v>
      </c>
    </row>
    <row r="899" spans="1:35" x14ac:dyDescent="0.35">
      <c r="A899" t="s">
        <v>3256</v>
      </c>
      <c r="B899" t="s">
        <v>3257</v>
      </c>
      <c r="C899" t="s">
        <v>3258</v>
      </c>
      <c r="D899" s="1">
        <v>44708</v>
      </c>
      <c r="E899" s="1" t="str">
        <f t="shared" si="98"/>
        <v>27</v>
      </c>
      <c r="F899" s="1" t="str">
        <f t="shared" si="99"/>
        <v>May</v>
      </c>
      <c r="G899" s="6" t="s">
        <v>71</v>
      </c>
      <c r="H899" s="5">
        <v>6317.13</v>
      </c>
      <c r="I899" s="5" t="str">
        <f>IF(fin_table[[#This Row],[Account Balance]]&lt;20000,"Active", "Not Active")</f>
        <v>Not Active</v>
      </c>
      <c r="J899" s="5">
        <v>20978.07</v>
      </c>
      <c r="K899" s="5" t="str">
        <f t="shared" si="100"/>
        <v>Medium</v>
      </c>
      <c r="L899" s="6" t="s">
        <v>49</v>
      </c>
      <c r="M899">
        <v>69</v>
      </c>
      <c r="N899" s="6" t="str">
        <f t="shared" si="101"/>
        <v>Seniors</v>
      </c>
      <c r="O899" s="6" t="s">
        <v>25</v>
      </c>
      <c r="P899" s="6" t="s">
        <v>36</v>
      </c>
      <c r="Q899" t="s">
        <v>1799</v>
      </c>
      <c r="R899" s="6" t="s">
        <v>38</v>
      </c>
      <c r="S899" s="6" t="s">
        <v>62</v>
      </c>
      <c r="T899" s="14">
        <v>3.0099999999999998E-2</v>
      </c>
      <c r="U899">
        <v>3.01</v>
      </c>
      <c r="V899" t="str">
        <f>IF(fin_table[[#This Row],[Interest Rate(%)]]&gt;4,"high","low")</f>
        <v>low</v>
      </c>
      <c r="W899" s="5">
        <v>16417.810000000001</v>
      </c>
      <c r="X899" s="5">
        <f>fin_table[[#This Row],[Interest Rate]]*fin_table[[#This Row],[Loan Amount]]</f>
        <v>494.17608100000001</v>
      </c>
      <c r="Y899">
        <v>13</v>
      </c>
      <c r="Z899" s="3">
        <v>411</v>
      </c>
      <c r="AA899" s="3" t="str">
        <f t="shared" si="102"/>
        <v>Poor</v>
      </c>
      <c r="AB899" s="3" cm="1">
        <f t="array" ref="AB899">_xlfn.IFS(fin_table[[#This Row],[Transaction Status]]="Failed", 1, fin_table[[#This Row],[Transaction Status]]="Completed",0,fin_table[[#This Row],[Transaction Status]]="Pending",2)</f>
        <v>2</v>
      </c>
      <c r="AC899" s="3" t="str">
        <f>IF(fin_table[[#This Row],[Loan Defaulters]]=1,"Default", "Good")</f>
        <v>Good</v>
      </c>
      <c r="AD899" s="3">
        <f t="shared" si="103"/>
        <v>1</v>
      </c>
      <c r="AE899" s="4">
        <v>7184.88</v>
      </c>
      <c r="AF899" s="4" t="str">
        <f>IF(fin_table[[#This Row],[Monthly Income]]&lt;3000, "Low Income", IF(fin_table[[#This Row],[Monthly Income]]&lt;=5000, "Middle Income", "High Income"))</f>
        <v>High Income</v>
      </c>
      <c r="AG899" t="s">
        <v>63</v>
      </c>
      <c r="AH899" t="s">
        <v>3636</v>
      </c>
      <c r="AI899" t="str">
        <f t="shared" si="104"/>
        <v>Low-Risk</v>
      </c>
    </row>
    <row r="900" spans="1:35" x14ac:dyDescent="0.35">
      <c r="A900" t="s">
        <v>3259</v>
      </c>
      <c r="B900" t="s">
        <v>3260</v>
      </c>
      <c r="C900" t="s">
        <v>3261</v>
      </c>
      <c r="D900" s="1">
        <v>45131</v>
      </c>
      <c r="E900" s="1" t="str">
        <f t="shared" si="98"/>
        <v>24</v>
      </c>
      <c r="F900" s="1" t="str">
        <f t="shared" si="99"/>
        <v>Jul</v>
      </c>
      <c r="G900" s="6" t="s">
        <v>56</v>
      </c>
      <c r="H900" s="5">
        <v>2550.35</v>
      </c>
      <c r="I900" s="5" t="str">
        <f>IF(fin_table[[#This Row],[Account Balance]]&lt;20000,"Active", "Not Active")</f>
        <v>Active</v>
      </c>
      <c r="J900" s="5">
        <v>7152.71</v>
      </c>
      <c r="K900" s="5" t="str">
        <f t="shared" si="100"/>
        <v>Low</v>
      </c>
      <c r="L900" s="6" t="s">
        <v>100</v>
      </c>
      <c r="M900">
        <v>19</v>
      </c>
      <c r="N900" s="6" t="str">
        <f t="shared" si="101"/>
        <v>Young Adults</v>
      </c>
      <c r="O900" s="6" t="s">
        <v>42</v>
      </c>
      <c r="P900" s="6" t="s">
        <v>50</v>
      </c>
      <c r="Q900" t="s">
        <v>178</v>
      </c>
      <c r="R900" s="6" t="s">
        <v>52</v>
      </c>
      <c r="S900" s="6" t="s">
        <v>29</v>
      </c>
      <c r="T900" s="14">
        <v>3.5499999999999997E-2</v>
      </c>
      <c r="U900">
        <v>3.55</v>
      </c>
      <c r="V900" t="str">
        <f>IF(fin_table[[#This Row],[Interest Rate(%)]]&gt;4,"high","low")</f>
        <v>low</v>
      </c>
      <c r="W900" s="5">
        <v>41061.75</v>
      </c>
      <c r="X900" s="5">
        <f>fin_table[[#This Row],[Interest Rate]]*fin_table[[#This Row],[Loan Amount]]</f>
        <v>1457.6921249999998</v>
      </c>
      <c r="Y900">
        <v>10</v>
      </c>
      <c r="Z900" s="3">
        <v>772</v>
      </c>
      <c r="AA900" s="3" t="str">
        <f t="shared" si="102"/>
        <v>Very Good</v>
      </c>
      <c r="AB900" s="3" cm="1">
        <f t="array" ref="AB900">_xlfn.IFS(fin_table[[#This Row],[Transaction Status]]="Failed", 1, fin_table[[#This Row],[Transaction Status]]="Completed",0,fin_table[[#This Row],[Transaction Status]]="Pending",2)</f>
        <v>1</v>
      </c>
      <c r="AC900" s="3" t="str">
        <f>IF(fin_table[[#This Row],[Loan Defaulters]]=1,"Default", "Good")</f>
        <v>Default</v>
      </c>
      <c r="AD900" s="3">
        <f t="shared" si="103"/>
        <v>4</v>
      </c>
      <c r="AE900" s="4">
        <v>11755.06</v>
      </c>
      <c r="AF900" s="4" t="str">
        <f>IF(fin_table[[#This Row],[Monthly Income]]&lt;3000, "Low Income", IF(fin_table[[#This Row],[Monthly Income]]&lt;=5000, "Middle Income", "High Income"))</f>
        <v>High Income</v>
      </c>
      <c r="AG900" t="s">
        <v>63</v>
      </c>
      <c r="AH900" t="s">
        <v>3636</v>
      </c>
      <c r="AI900" t="str">
        <f t="shared" si="104"/>
        <v>Low-Risk</v>
      </c>
    </row>
    <row r="901" spans="1:35" x14ac:dyDescent="0.35">
      <c r="A901" t="s">
        <v>3262</v>
      </c>
      <c r="B901" t="s">
        <v>3263</v>
      </c>
      <c r="C901" t="s">
        <v>3264</v>
      </c>
      <c r="D901" s="1">
        <v>44798</v>
      </c>
      <c r="E901" s="1" t="str">
        <f t="shared" si="98"/>
        <v>25</v>
      </c>
      <c r="F901" s="1" t="str">
        <f t="shared" si="99"/>
        <v>Aug</v>
      </c>
      <c r="G901" s="6" t="s">
        <v>34</v>
      </c>
      <c r="H901" s="5">
        <v>1711.87</v>
      </c>
      <c r="I901" s="5" t="str">
        <f>IF(fin_table[[#This Row],[Account Balance]]&lt;20000,"Active", "Not Active")</f>
        <v>Active</v>
      </c>
      <c r="J901" s="5">
        <v>9393.4500000000007</v>
      </c>
      <c r="K901" s="5" t="str">
        <f t="shared" si="100"/>
        <v>Low</v>
      </c>
      <c r="L901" s="6" t="s">
        <v>24</v>
      </c>
      <c r="M901">
        <v>69</v>
      </c>
      <c r="N901" s="6" t="str">
        <f t="shared" si="101"/>
        <v>Seniors</v>
      </c>
      <c r="O901" s="6" t="s">
        <v>25</v>
      </c>
      <c r="P901" s="6" t="s">
        <v>50</v>
      </c>
      <c r="Q901" t="s">
        <v>453</v>
      </c>
      <c r="R901" s="6" t="s">
        <v>28</v>
      </c>
      <c r="S901" s="6" t="s">
        <v>62</v>
      </c>
      <c r="T901" s="14">
        <v>2.18E-2</v>
      </c>
      <c r="U901">
        <v>2.1800000000000002</v>
      </c>
      <c r="V901" t="str">
        <f>IF(fin_table[[#This Row],[Interest Rate(%)]]&gt;4,"high","low")</f>
        <v>low</v>
      </c>
      <c r="W901" s="5">
        <v>26681.654999999999</v>
      </c>
      <c r="X901" s="5">
        <f>fin_table[[#This Row],[Interest Rate]]*fin_table[[#This Row],[Loan Amount]]</f>
        <v>581.660079</v>
      </c>
      <c r="Y901">
        <v>13</v>
      </c>
      <c r="Z901" s="3">
        <v>691</v>
      </c>
      <c r="AA901" s="3" t="str">
        <f t="shared" si="102"/>
        <v>Good</v>
      </c>
      <c r="AB901" s="3" cm="1">
        <f t="array" ref="AB901">_xlfn.IFS(fin_table[[#This Row],[Transaction Status]]="Failed", 1, fin_table[[#This Row],[Transaction Status]]="Completed",0,fin_table[[#This Row],[Transaction Status]]="Pending",2)</f>
        <v>2</v>
      </c>
      <c r="AC901" s="3" t="str">
        <f>IF(fin_table[[#This Row],[Loan Defaulters]]=1,"Default", "Good")</f>
        <v>Good</v>
      </c>
      <c r="AD901" s="3">
        <f t="shared" si="103"/>
        <v>3</v>
      </c>
      <c r="AE901" s="4">
        <v>2951.28</v>
      </c>
      <c r="AF901" s="4" t="str">
        <f>IF(fin_table[[#This Row],[Monthly Income]]&lt;3000, "Low Income", IF(fin_table[[#This Row],[Monthly Income]]&lt;=5000, "Middle Income", "High Income"))</f>
        <v>Low Income</v>
      </c>
      <c r="AG901" t="s">
        <v>63</v>
      </c>
      <c r="AH901" t="s">
        <v>3635</v>
      </c>
      <c r="AI901" t="str">
        <f t="shared" si="104"/>
        <v>Low-Risk</v>
      </c>
    </row>
    <row r="902" spans="1:35" x14ac:dyDescent="0.35">
      <c r="A902" t="s">
        <v>3265</v>
      </c>
      <c r="B902" t="s">
        <v>3266</v>
      </c>
      <c r="C902" t="s">
        <v>3267</v>
      </c>
      <c r="D902" s="1">
        <v>44693</v>
      </c>
      <c r="E902" s="1" t="str">
        <f t="shared" si="98"/>
        <v>12</v>
      </c>
      <c r="F902" s="1" t="str">
        <f t="shared" si="99"/>
        <v>May</v>
      </c>
      <c r="G902" s="6" t="s">
        <v>23</v>
      </c>
      <c r="H902" s="5">
        <v>1950.45</v>
      </c>
      <c r="I902" s="5" t="str">
        <f>IF(fin_table[[#This Row],[Account Balance]]&lt;20000,"Active", "Not Active")</f>
        <v>Not Active</v>
      </c>
      <c r="J902" s="5">
        <v>41540.47</v>
      </c>
      <c r="K902" s="5" t="str">
        <f t="shared" si="100"/>
        <v>Medium</v>
      </c>
      <c r="L902" s="6" t="s">
        <v>35</v>
      </c>
      <c r="M902">
        <v>45</v>
      </c>
      <c r="N902" s="6" t="str">
        <f t="shared" si="101"/>
        <v>Middle-Aged</v>
      </c>
      <c r="O902" s="6" t="s">
        <v>25</v>
      </c>
      <c r="P902" s="6" t="s">
        <v>26</v>
      </c>
      <c r="Q902" t="s">
        <v>3268</v>
      </c>
      <c r="R902" s="6" t="s">
        <v>28</v>
      </c>
      <c r="S902" s="6" t="s">
        <v>62</v>
      </c>
      <c r="T902" s="14">
        <v>3.8399999999999997E-2</v>
      </c>
      <c r="U902">
        <v>3.84</v>
      </c>
      <c r="V902" t="str">
        <f>IF(fin_table[[#This Row],[Interest Rate(%)]]&gt;4,"high","low")</f>
        <v>low</v>
      </c>
      <c r="W902" s="5">
        <v>36003.01</v>
      </c>
      <c r="X902" s="5">
        <f>fin_table[[#This Row],[Interest Rate]]*fin_table[[#This Row],[Loan Amount]]</f>
        <v>1382.515584</v>
      </c>
      <c r="Y902">
        <v>3</v>
      </c>
      <c r="Z902" s="3">
        <v>442</v>
      </c>
      <c r="AA902" s="3" t="str">
        <f t="shared" si="102"/>
        <v>Poor</v>
      </c>
      <c r="AB902" s="3" cm="1">
        <f t="array" ref="AB902">_xlfn.IFS(fin_table[[#This Row],[Transaction Status]]="Failed", 1, fin_table[[#This Row],[Transaction Status]]="Completed",0,fin_table[[#This Row],[Transaction Status]]="Pending",2)</f>
        <v>2</v>
      </c>
      <c r="AC902" s="3" t="str">
        <f>IF(fin_table[[#This Row],[Loan Defaulters]]=1,"Default", "Good")</f>
        <v>Good</v>
      </c>
      <c r="AD902" s="3">
        <f t="shared" si="103"/>
        <v>1</v>
      </c>
      <c r="AE902" s="4">
        <v>3163.22</v>
      </c>
      <c r="AF902" s="4" t="str">
        <f>IF(fin_table[[#This Row],[Monthly Income]]&lt;3000, "Low Income", IF(fin_table[[#This Row],[Monthly Income]]&lt;=5000, "Middle Income", "High Income"))</f>
        <v>Middle Income</v>
      </c>
      <c r="AG902" t="s">
        <v>63</v>
      </c>
      <c r="AH902" t="s">
        <v>3636</v>
      </c>
      <c r="AI902" t="str">
        <f t="shared" si="104"/>
        <v>High-Risk</v>
      </c>
    </row>
    <row r="903" spans="1:35" x14ac:dyDescent="0.35">
      <c r="A903" t="s">
        <v>3269</v>
      </c>
      <c r="B903" t="s">
        <v>3270</v>
      </c>
      <c r="C903" t="s">
        <v>3271</v>
      </c>
      <c r="D903" s="1">
        <v>44791</v>
      </c>
      <c r="E903" s="1" t="str">
        <f t="shared" si="98"/>
        <v>18</v>
      </c>
      <c r="F903" s="1" t="str">
        <f t="shared" si="99"/>
        <v>Aug</v>
      </c>
      <c r="G903" s="6" t="s">
        <v>23</v>
      </c>
      <c r="H903" s="5">
        <v>295.98</v>
      </c>
      <c r="I903" s="5" t="str">
        <f>IF(fin_table[[#This Row],[Account Balance]]&lt;20000,"Active", "Not Active")</f>
        <v>Not Active</v>
      </c>
      <c r="J903" s="5">
        <v>29657.09</v>
      </c>
      <c r="K903" s="5" t="str">
        <f t="shared" si="100"/>
        <v>Medium</v>
      </c>
      <c r="L903" s="6" t="s">
        <v>125</v>
      </c>
      <c r="M903">
        <v>60</v>
      </c>
      <c r="N903" s="6" t="str">
        <f t="shared" si="101"/>
        <v>Older Adults</v>
      </c>
      <c r="O903" s="6" t="s">
        <v>25</v>
      </c>
      <c r="P903" s="6" t="s">
        <v>26</v>
      </c>
      <c r="Q903" t="s">
        <v>3272</v>
      </c>
      <c r="R903" s="6" t="s">
        <v>38</v>
      </c>
      <c r="S903" s="6" t="s">
        <v>44</v>
      </c>
      <c r="T903" s="14">
        <v>1.6799999999999999E-2</v>
      </c>
      <c r="U903">
        <v>1.68</v>
      </c>
      <c r="V903" t="str">
        <f>IF(fin_table[[#This Row],[Interest Rate(%)]]&gt;4,"high","low")</f>
        <v>low</v>
      </c>
      <c r="W903" s="5">
        <v>12872.57</v>
      </c>
      <c r="X903" s="5">
        <f>fin_table[[#This Row],[Interest Rate]]*fin_table[[#This Row],[Loan Amount]]</f>
        <v>216.25917599999997</v>
      </c>
      <c r="Y903">
        <v>13</v>
      </c>
      <c r="Z903" s="3">
        <v>331</v>
      </c>
      <c r="AA903" s="3" t="str">
        <f t="shared" si="102"/>
        <v>Poor</v>
      </c>
      <c r="AB903" s="3" cm="1">
        <f t="array" ref="AB903">_xlfn.IFS(fin_table[[#This Row],[Transaction Status]]="Failed", 1, fin_table[[#This Row],[Transaction Status]]="Completed",0,fin_table[[#This Row],[Transaction Status]]="Pending",2)</f>
        <v>0</v>
      </c>
      <c r="AC903" s="3" t="str">
        <f>IF(fin_table[[#This Row],[Loan Defaulters]]=1,"Default", "Good")</f>
        <v>Good</v>
      </c>
      <c r="AD903" s="3">
        <f t="shared" si="103"/>
        <v>1</v>
      </c>
      <c r="AE903" s="4">
        <v>10475.66</v>
      </c>
      <c r="AF903" s="4" t="str">
        <f>IF(fin_table[[#This Row],[Monthly Income]]&lt;3000, "Low Income", IF(fin_table[[#This Row],[Monthly Income]]&lt;=5000, "Middle Income", "High Income"))</f>
        <v>High Income</v>
      </c>
      <c r="AG903" t="s">
        <v>30</v>
      </c>
      <c r="AH903" t="s">
        <v>3636</v>
      </c>
      <c r="AI903" t="str">
        <f t="shared" si="104"/>
        <v>Low-Risk</v>
      </c>
    </row>
    <row r="904" spans="1:35" x14ac:dyDescent="0.35">
      <c r="A904" t="s">
        <v>3273</v>
      </c>
      <c r="B904" t="s">
        <v>3274</v>
      </c>
      <c r="C904" t="s">
        <v>3275</v>
      </c>
      <c r="D904" s="1">
        <v>45056</v>
      </c>
      <c r="E904" s="1" t="str">
        <f t="shared" si="98"/>
        <v>10</v>
      </c>
      <c r="F904" s="1" t="str">
        <f t="shared" si="99"/>
        <v>May</v>
      </c>
      <c r="G904" s="6" t="s">
        <v>56</v>
      </c>
      <c r="H904" s="5">
        <v>3967.75</v>
      </c>
      <c r="I904" s="5" t="str">
        <f>IF(fin_table[[#This Row],[Account Balance]]&lt;20000,"Active", "Not Active")</f>
        <v>Active</v>
      </c>
      <c r="J904" s="5">
        <v>17539.09</v>
      </c>
      <c r="K904" s="5" t="str">
        <f t="shared" si="100"/>
        <v>Medium</v>
      </c>
      <c r="L904" s="6" t="s">
        <v>100</v>
      </c>
      <c r="M904">
        <v>43</v>
      </c>
      <c r="N904" s="6" t="str">
        <f t="shared" si="101"/>
        <v>Middle-Aged</v>
      </c>
      <c r="O904" s="6" t="s">
        <v>42</v>
      </c>
      <c r="P904" s="6" t="s">
        <v>26</v>
      </c>
      <c r="Q904" t="s">
        <v>634</v>
      </c>
      <c r="R904" s="6" t="s">
        <v>52</v>
      </c>
      <c r="S904" s="6" t="s">
        <v>29</v>
      </c>
      <c r="T904" s="14">
        <v>4.3299999999999998E-2</v>
      </c>
      <c r="U904">
        <v>4.33</v>
      </c>
      <c r="V904" t="str">
        <f>IF(fin_table[[#This Row],[Interest Rate(%)]]&gt;4,"high","low")</f>
        <v>high</v>
      </c>
      <c r="W904" s="5">
        <v>26681.654999999999</v>
      </c>
      <c r="X904" s="5">
        <f>fin_table[[#This Row],[Interest Rate]]*fin_table[[#This Row],[Loan Amount]]</f>
        <v>1155.3156614999998</v>
      </c>
      <c r="Y904">
        <v>13</v>
      </c>
      <c r="Z904" s="3">
        <v>480</v>
      </c>
      <c r="AA904" s="3" t="str">
        <f t="shared" si="102"/>
        <v>Poor</v>
      </c>
      <c r="AB904" s="3" cm="1">
        <f t="array" ref="AB904">_xlfn.IFS(fin_table[[#This Row],[Transaction Status]]="Failed", 1, fin_table[[#This Row],[Transaction Status]]="Completed",0,fin_table[[#This Row],[Transaction Status]]="Pending",2)</f>
        <v>1</v>
      </c>
      <c r="AC904" s="3" t="str">
        <f>IF(fin_table[[#This Row],[Loan Defaulters]]=1,"Default", "Good")</f>
        <v>Default</v>
      </c>
      <c r="AD904" s="3">
        <f t="shared" si="103"/>
        <v>1</v>
      </c>
      <c r="AE904" s="4">
        <v>8330.23</v>
      </c>
      <c r="AF904" s="4" t="str">
        <f>IF(fin_table[[#This Row],[Monthly Income]]&lt;3000, "Low Income", IF(fin_table[[#This Row],[Monthly Income]]&lt;=5000, "Middle Income", "High Income"))</f>
        <v>High Income</v>
      </c>
      <c r="AG904" t="s">
        <v>63</v>
      </c>
      <c r="AH904" t="s">
        <v>3635</v>
      </c>
      <c r="AI904" t="str">
        <f t="shared" si="104"/>
        <v>Low-Risk</v>
      </c>
    </row>
    <row r="905" spans="1:35" x14ac:dyDescent="0.35">
      <c r="A905" t="s">
        <v>3276</v>
      </c>
      <c r="B905" t="s">
        <v>3277</v>
      </c>
      <c r="C905" t="s">
        <v>3278</v>
      </c>
      <c r="D905" s="1">
        <v>45082</v>
      </c>
      <c r="E905" s="1" t="str">
        <f t="shared" si="98"/>
        <v>05</v>
      </c>
      <c r="F905" s="1" t="str">
        <f t="shared" si="99"/>
        <v>Jun</v>
      </c>
      <c r="G905" s="6" t="s">
        <v>23</v>
      </c>
      <c r="H905" s="5">
        <v>1995.13</v>
      </c>
      <c r="I905" s="5" t="str">
        <f>IF(fin_table[[#This Row],[Account Balance]]&lt;20000,"Active", "Not Active")</f>
        <v>Not Active</v>
      </c>
      <c r="J905" s="5">
        <v>40339.71</v>
      </c>
      <c r="K905" s="5" t="str">
        <f t="shared" si="100"/>
        <v>Medium</v>
      </c>
      <c r="L905" s="6" t="s">
        <v>35</v>
      </c>
      <c r="M905">
        <v>39</v>
      </c>
      <c r="N905" s="6" t="str">
        <f t="shared" si="101"/>
        <v>Middle-Aged</v>
      </c>
      <c r="O905" s="6" t="s">
        <v>25</v>
      </c>
      <c r="P905" s="6" t="s">
        <v>36</v>
      </c>
      <c r="Q905" t="s">
        <v>3279</v>
      </c>
      <c r="R905" s="6" t="s">
        <v>52</v>
      </c>
      <c r="S905" s="6" t="s">
        <v>44</v>
      </c>
      <c r="T905" s="14">
        <v>3.2899999999999999E-2</v>
      </c>
      <c r="U905">
        <v>3.29</v>
      </c>
      <c r="V905" t="str">
        <f>IF(fin_table[[#This Row],[Interest Rate(%)]]&gt;4,"high","low")</f>
        <v>low</v>
      </c>
      <c r="W905" s="5">
        <v>26681.654999999999</v>
      </c>
      <c r="X905" s="5">
        <f>fin_table[[#This Row],[Interest Rate]]*fin_table[[#This Row],[Loan Amount]]</f>
        <v>877.82644949999997</v>
      </c>
      <c r="Y905">
        <v>19</v>
      </c>
      <c r="Z905" s="3">
        <v>815</v>
      </c>
      <c r="AA905" s="3" t="str">
        <f t="shared" si="102"/>
        <v>Excellent</v>
      </c>
      <c r="AB905" s="3" cm="1">
        <f t="array" ref="AB905">_xlfn.IFS(fin_table[[#This Row],[Transaction Status]]="Failed", 1, fin_table[[#This Row],[Transaction Status]]="Completed",0,fin_table[[#This Row],[Transaction Status]]="Pending",2)</f>
        <v>0</v>
      </c>
      <c r="AC905" s="3" t="str">
        <f>IF(fin_table[[#This Row],[Loan Defaulters]]=1,"Default", "Good")</f>
        <v>Good</v>
      </c>
      <c r="AD905" s="3">
        <f t="shared" si="103"/>
        <v>5</v>
      </c>
      <c r="AE905" s="4">
        <v>12275.4</v>
      </c>
      <c r="AF905" s="4" t="str">
        <f>IF(fin_table[[#This Row],[Monthly Income]]&lt;3000, "Low Income", IF(fin_table[[#This Row],[Monthly Income]]&lt;=5000, "Middle Income", "High Income"))</f>
        <v>High Income</v>
      </c>
      <c r="AG905" t="s">
        <v>45</v>
      </c>
      <c r="AH905" t="s">
        <v>3635</v>
      </c>
      <c r="AI905" t="str">
        <f t="shared" si="104"/>
        <v>Low-Risk</v>
      </c>
    </row>
    <row r="906" spans="1:35" x14ac:dyDescent="0.35">
      <c r="A906" t="s">
        <v>3280</v>
      </c>
      <c r="B906" t="s">
        <v>3281</v>
      </c>
      <c r="C906" t="s">
        <v>3282</v>
      </c>
      <c r="D906" s="1">
        <v>45134</v>
      </c>
      <c r="E906" s="1" t="str">
        <f t="shared" si="98"/>
        <v>27</v>
      </c>
      <c r="F906" s="1" t="str">
        <f t="shared" si="99"/>
        <v>Jul</v>
      </c>
      <c r="G906" s="6" t="s">
        <v>34</v>
      </c>
      <c r="H906" s="5">
        <v>4175.3900000000003</v>
      </c>
      <c r="I906" s="5" t="str">
        <f>IF(fin_table[[#This Row],[Account Balance]]&lt;20000,"Active", "Not Active")</f>
        <v>Active</v>
      </c>
      <c r="J906" s="5">
        <v>13079.48</v>
      </c>
      <c r="K906" s="5" t="str">
        <f t="shared" si="100"/>
        <v>Medium</v>
      </c>
      <c r="L906" s="6" t="s">
        <v>35</v>
      </c>
      <c r="M906">
        <v>64</v>
      </c>
      <c r="N906" s="6" t="str">
        <f t="shared" si="101"/>
        <v>Seniors</v>
      </c>
      <c r="O906" s="6" t="s">
        <v>42</v>
      </c>
      <c r="P906" s="6" t="s">
        <v>36</v>
      </c>
      <c r="Q906" t="s">
        <v>1189</v>
      </c>
      <c r="R906" s="6" t="s">
        <v>38</v>
      </c>
      <c r="S906" s="6" t="s">
        <v>29</v>
      </c>
      <c r="T906" s="14">
        <v>3.3399999999999999E-2</v>
      </c>
      <c r="U906">
        <v>3.34</v>
      </c>
      <c r="V906" t="str">
        <f>IF(fin_table[[#This Row],[Interest Rate(%)]]&gt;4,"high","low")</f>
        <v>low</v>
      </c>
      <c r="W906" s="5">
        <v>38978.629999999997</v>
      </c>
      <c r="X906" s="5">
        <f>fin_table[[#This Row],[Interest Rate]]*fin_table[[#This Row],[Loan Amount]]</f>
        <v>1301.8862419999998</v>
      </c>
      <c r="Y906">
        <v>13</v>
      </c>
      <c r="Z906" s="3">
        <v>568</v>
      </c>
      <c r="AA906" s="3" t="str">
        <f t="shared" si="102"/>
        <v>Poor</v>
      </c>
      <c r="AB906" s="3" cm="1">
        <f t="array" ref="AB906">_xlfn.IFS(fin_table[[#This Row],[Transaction Status]]="Failed", 1, fin_table[[#This Row],[Transaction Status]]="Completed",0,fin_table[[#This Row],[Transaction Status]]="Pending",2)</f>
        <v>1</v>
      </c>
      <c r="AC906" s="3" t="str">
        <f>IF(fin_table[[#This Row],[Loan Defaulters]]=1,"Default", "Good")</f>
        <v>Default</v>
      </c>
      <c r="AD906" s="3">
        <f t="shared" si="103"/>
        <v>1</v>
      </c>
      <c r="AE906" s="4">
        <v>13911.52</v>
      </c>
      <c r="AF906" s="4" t="str">
        <f>IF(fin_table[[#This Row],[Monthly Income]]&lt;3000, "Low Income", IF(fin_table[[#This Row],[Monthly Income]]&lt;=5000, "Middle Income", "High Income"))</f>
        <v>High Income</v>
      </c>
      <c r="AG906" t="s">
        <v>30</v>
      </c>
      <c r="AH906" t="s">
        <v>3636</v>
      </c>
      <c r="AI906" t="str">
        <f t="shared" si="104"/>
        <v>High-Risk</v>
      </c>
    </row>
    <row r="907" spans="1:35" x14ac:dyDescent="0.35">
      <c r="A907" t="s">
        <v>3283</v>
      </c>
      <c r="B907" t="s">
        <v>3284</v>
      </c>
      <c r="C907" t="s">
        <v>3285</v>
      </c>
      <c r="D907" s="1">
        <v>44807</v>
      </c>
      <c r="E907" s="1" t="str">
        <f t="shared" si="98"/>
        <v>03</v>
      </c>
      <c r="F907" s="1" t="str">
        <f t="shared" si="99"/>
        <v>Sep</v>
      </c>
      <c r="G907" s="6" t="s">
        <v>23</v>
      </c>
      <c r="H907" s="5">
        <v>9356.44</v>
      </c>
      <c r="I907" s="5" t="str">
        <f>IF(fin_table[[#This Row],[Account Balance]]&lt;20000,"Active", "Not Active")</f>
        <v>Not Active</v>
      </c>
      <c r="J907" s="5">
        <v>48825.599999999999</v>
      </c>
      <c r="K907" s="5" t="str">
        <f t="shared" si="100"/>
        <v>Medium</v>
      </c>
      <c r="L907" s="6" t="s">
        <v>49</v>
      </c>
      <c r="M907">
        <v>60</v>
      </c>
      <c r="N907" s="6" t="str">
        <f t="shared" si="101"/>
        <v>Older Adults</v>
      </c>
      <c r="O907" s="6" t="s">
        <v>25</v>
      </c>
      <c r="P907" s="6" t="s">
        <v>36</v>
      </c>
      <c r="Q907" t="s">
        <v>1132</v>
      </c>
      <c r="R907" s="6" t="s">
        <v>38</v>
      </c>
      <c r="S907" s="6" t="s">
        <v>44</v>
      </c>
      <c r="T907" s="14">
        <v>1.84E-2</v>
      </c>
      <c r="U907">
        <v>1.84</v>
      </c>
      <c r="V907" t="str">
        <f>IF(fin_table[[#This Row],[Interest Rate(%)]]&gt;4,"high","low")</f>
        <v>low</v>
      </c>
      <c r="W907" s="5">
        <v>26681.654999999999</v>
      </c>
      <c r="X907" s="5">
        <f>fin_table[[#This Row],[Interest Rate]]*fin_table[[#This Row],[Loan Amount]]</f>
        <v>490.94245199999995</v>
      </c>
      <c r="Y907">
        <v>25</v>
      </c>
      <c r="Z907" s="3">
        <v>535</v>
      </c>
      <c r="AA907" s="3" t="str">
        <f t="shared" si="102"/>
        <v>Poor</v>
      </c>
      <c r="AB907" s="3" cm="1">
        <f t="array" ref="AB907">_xlfn.IFS(fin_table[[#This Row],[Transaction Status]]="Failed", 1, fin_table[[#This Row],[Transaction Status]]="Completed",0,fin_table[[#This Row],[Transaction Status]]="Pending",2)</f>
        <v>0</v>
      </c>
      <c r="AC907" s="3" t="str">
        <f>IF(fin_table[[#This Row],[Loan Defaulters]]=1,"Default", "Good")</f>
        <v>Good</v>
      </c>
      <c r="AD907" s="3">
        <f t="shared" si="103"/>
        <v>1</v>
      </c>
      <c r="AE907" s="4">
        <v>7048.77</v>
      </c>
      <c r="AF907" s="4" t="str">
        <f>IF(fin_table[[#This Row],[Monthly Income]]&lt;3000, "Low Income", IF(fin_table[[#This Row],[Monthly Income]]&lt;=5000, "Middle Income", "High Income"))</f>
        <v>High Income</v>
      </c>
      <c r="AG907" t="s">
        <v>45</v>
      </c>
      <c r="AH907" t="s">
        <v>3635</v>
      </c>
      <c r="AI907" t="str">
        <f t="shared" si="104"/>
        <v>Low-Risk</v>
      </c>
    </row>
    <row r="908" spans="1:35" x14ac:dyDescent="0.35">
      <c r="A908" t="s">
        <v>3286</v>
      </c>
      <c r="B908" t="s">
        <v>3287</v>
      </c>
      <c r="C908" t="s">
        <v>3288</v>
      </c>
      <c r="D908" s="1">
        <v>44779</v>
      </c>
      <c r="E908" s="1" t="str">
        <f t="shared" si="98"/>
        <v>06</v>
      </c>
      <c r="F908" s="1" t="str">
        <f t="shared" si="99"/>
        <v>Aug</v>
      </c>
      <c r="G908" s="6" t="s">
        <v>56</v>
      </c>
      <c r="H908" s="5">
        <v>4362.3500000000004</v>
      </c>
      <c r="I908" s="5" t="str">
        <f>IF(fin_table[[#This Row],[Account Balance]]&lt;20000,"Active", "Not Active")</f>
        <v>Active</v>
      </c>
      <c r="J908" s="5">
        <v>17896.060000000001</v>
      </c>
      <c r="K908" s="5" t="str">
        <f t="shared" si="100"/>
        <v>Medium</v>
      </c>
      <c r="L908" s="6" t="s">
        <v>49</v>
      </c>
      <c r="M908">
        <v>20</v>
      </c>
      <c r="N908" s="6" t="str">
        <f t="shared" si="101"/>
        <v>Young Adults</v>
      </c>
      <c r="O908" s="6" t="s">
        <v>25</v>
      </c>
      <c r="P908" s="6" t="s">
        <v>36</v>
      </c>
      <c r="Q908" t="s">
        <v>505</v>
      </c>
      <c r="R908" s="6" t="s">
        <v>38</v>
      </c>
      <c r="S908" s="6" t="s">
        <v>44</v>
      </c>
      <c r="T908" s="14">
        <v>1.2999999999999999E-2</v>
      </c>
      <c r="U908">
        <v>1.2999999999999999E-2</v>
      </c>
      <c r="V908" t="str">
        <f>IF(fin_table[[#This Row],[Interest Rate(%)]]&gt;4,"high","low")</f>
        <v>low</v>
      </c>
      <c r="W908" s="5">
        <v>28303.040000000001</v>
      </c>
      <c r="X908" s="5">
        <f>fin_table[[#This Row],[Interest Rate]]*fin_table[[#This Row],[Loan Amount]]</f>
        <v>367.93952000000002</v>
      </c>
      <c r="Y908">
        <v>13</v>
      </c>
      <c r="Z908" s="3">
        <v>576</v>
      </c>
      <c r="AA908" s="3" t="str">
        <f t="shared" si="102"/>
        <v>Poor</v>
      </c>
      <c r="AB908" s="3" cm="1">
        <f t="array" ref="AB908">_xlfn.IFS(fin_table[[#This Row],[Transaction Status]]="Failed", 1, fin_table[[#This Row],[Transaction Status]]="Completed",0,fin_table[[#This Row],[Transaction Status]]="Pending",2)</f>
        <v>0</v>
      </c>
      <c r="AC908" s="3" t="str">
        <f>IF(fin_table[[#This Row],[Loan Defaulters]]=1,"Default", "Good")</f>
        <v>Good</v>
      </c>
      <c r="AD908" s="3">
        <f t="shared" si="103"/>
        <v>1</v>
      </c>
      <c r="AE908" s="4">
        <v>9753.33</v>
      </c>
      <c r="AF908" s="4" t="str">
        <f>IF(fin_table[[#This Row],[Monthly Income]]&lt;3000, "Low Income", IF(fin_table[[#This Row],[Monthly Income]]&lt;=5000, "Middle Income", "High Income"))</f>
        <v>High Income</v>
      </c>
      <c r="AG908" t="s">
        <v>30</v>
      </c>
      <c r="AH908" t="s">
        <v>3636</v>
      </c>
      <c r="AI908" t="str">
        <f t="shared" si="104"/>
        <v>Low-Risk</v>
      </c>
    </row>
    <row r="909" spans="1:35" x14ac:dyDescent="0.35">
      <c r="A909" t="s">
        <v>3289</v>
      </c>
      <c r="B909" t="s">
        <v>3290</v>
      </c>
      <c r="C909" t="s">
        <v>3291</v>
      </c>
      <c r="D909" s="1">
        <v>45123</v>
      </c>
      <c r="E909" s="1" t="str">
        <f t="shared" si="98"/>
        <v>16</v>
      </c>
      <c r="F909" s="1" t="str">
        <f t="shared" si="99"/>
        <v>Jul</v>
      </c>
      <c r="G909" s="6" t="s">
        <v>34</v>
      </c>
      <c r="H909" s="5">
        <v>8792.0499999999993</v>
      </c>
      <c r="I909" s="5" t="str">
        <f>IF(fin_table[[#This Row],[Account Balance]]&lt;20000,"Active", "Not Active")</f>
        <v>Active</v>
      </c>
      <c r="J909" s="5">
        <v>17528.240000000002</v>
      </c>
      <c r="K909" s="5" t="str">
        <f t="shared" si="100"/>
        <v>Medium</v>
      </c>
      <c r="L909" s="6" t="s">
        <v>100</v>
      </c>
      <c r="M909">
        <v>52</v>
      </c>
      <c r="N909" s="6" t="str">
        <f t="shared" si="101"/>
        <v>Older Adults</v>
      </c>
      <c r="O909" s="6" t="s">
        <v>25</v>
      </c>
      <c r="P909" s="6" t="s">
        <v>26</v>
      </c>
      <c r="Q909" t="s">
        <v>2751</v>
      </c>
      <c r="R909" s="6" t="s">
        <v>28</v>
      </c>
      <c r="S909" s="6" t="s">
        <v>29</v>
      </c>
      <c r="T909" s="14">
        <v>2.86E-2</v>
      </c>
      <c r="U909">
        <v>2.86</v>
      </c>
      <c r="V909" t="str">
        <f>IF(fin_table[[#This Row],[Interest Rate(%)]]&gt;4,"high","low")</f>
        <v>low</v>
      </c>
      <c r="W909" s="5">
        <v>45083.55</v>
      </c>
      <c r="X909" s="5">
        <f>fin_table[[#This Row],[Interest Rate]]*fin_table[[#This Row],[Loan Amount]]</f>
        <v>1289.3895300000001</v>
      </c>
      <c r="Y909">
        <v>13</v>
      </c>
      <c r="Z909" s="3">
        <v>574</v>
      </c>
      <c r="AA909" s="3" t="str">
        <f t="shared" si="102"/>
        <v>Poor</v>
      </c>
      <c r="AB909" s="3" cm="1">
        <f t="array" ref="AB909">_xlfn.IFS(fin_table[[#This Row],[Transaction Status]]="Failed", 1, fin_table[[#This Row],[Transaction Status]]="Completed",0,fin_table[[#This Row],[Transaction Status]]="Pending",2)</f>
        <v>1</v>
      </c>
      <c r="AC909" s="3" t="str">
        <f>IF(fin_table[[#This Row],[Loan Defaulters]]=1,"Default", "Good")</f>
        <v>Default</v>
      </c>
      <c r="AD909" s="3">
        <f t="shared" si="103"/>
        <v>1</v>
      </c>
      <c r="AE909" s="4">
        <v>8509.06</v>
      </c>
      <c r="AF909" s="4" t="str">
        <f>IF(fin_table[[#This Row],[Monthly Income]]&lt;3000, "Low Income", IF(fin_table[[#This Row],[Monthly Income]]&lt;=5000, "Middle Income", "High Income"))</f>
        <v>High Income</v>
      </c>
      <c r="AG909" t="s">
        <v>30</v>
      </c>
      <c r="AH909" t="s">
        <v>3636</v>
      </c>
      <c r="AI909" t="str">
        <f t="shared" si="104"/>
        <v>High-Risk</v>
      </c>
    </row>
    <row r="910" spans="1:35" x14ac:dyDescent="0.35">
      <c r="A910" t="s">
        <v>3292</v>
      </c>
      <c r="B910" t="s">
        <v>3293</v>
      </c>
      <c r="C910" t="s">
        <v>3294</v>
      </c>
      <c r="D910" s="1">
        <v>45019</v>
      </c>
      <c r="E910" s="1" t="str">
        <f t="shared" si="98"/>
        <v>03</v>
      </c>
      <c r="F910" s="1" t="str">
        <f t="shared" si="99"/>
        <v>Apr</v>
      </c>
      <c r="G910" s="6" t="s">
        <v>56</v>
      </c>
      <c r="H910" s="5">
        <v>6094.5</v>
      </c>
      <c r="I910" s="5" t="str">
        <f>IF(fin_table[[#This Row],[Account Balance]]&lt;20000,"Active", "Not Active")</f>
        <v>Active</v>
      </c>
      <c r="J910" s="5">
        <v>16283.68</v>
      </c>
      <c r="K910" s="5" t="str">
        <f t="shared" si="100"/>
        <v>Medium</v>
      </c>
      <c r="L910" s="6" t="s">
        <v>35</v>
      </c>
      <c r="M910">
        <v>29</v>
      </c>
      <c r="N910" s="6" t="str">
        <f t="shared" si="101"/>
        <v>Adults</v>
      </c>
      <c r="O910" s="6" t="s">
        <v>42</v>
      </c>
      <c r="P910" s="6" t="s">
        <v>36</v>
      </c>
      <c r="Q910" t="s">
        <v>3295</v>
      </c>
      <c r="R910" s="6" t="s">
        <v>38</v>
      </c>
      <c r="S910" s="6" t="s">
        <v>29</v>
      </c>
      <c r="T910" s="14">
        <v>3.4599999999999999E-2</v>
      </c>
      <c r="U910">
        <v>3.46</v>
      </c>
      <c r="V910" t="str">
        <f>IF(fin_table[[#This Row],[Interest Rate(%)]]&gt;4,"high","low")</f>
        <v>low</v>
      </c>
      <c r="W910" s="5">
        <v>26681.654999999999</v>
      </c>
      <c r="X910" s="5">
        <f>fin_table[[#This Row],[Interest Rate]]*fin_table[[#This Row],[Loan Amount]]</f>
        <v>923.18526299999996</v>
      </c>
      <c r="Y910">
        <v>17</v>
      </c>
      <c r="Z910" s="3">
        <v>385</v>
      </c>
      <c r="AA910" s="3" t="str">
        <f t="shared" si="102"/>
        <v>Poor</v>
      </c>
      <c r="AB910" s="3" cm="1">
        <f t="array" ref="AB910">_xlfn.IFS(fin_table[[#This Row],[Transaction Status]]="Failed", 1, fin_table[[#This Row],[Transaction Status]]="Completed",0,fin_table[[#This Row],[Transaction Status]]="Pending",2)</f>
        <v>1</v>
      </c>
      <c r="AC910" s="3" t="str">
        <f>IF(fin_table[[#This Row],[Loan Defaulters]]=1,"Default", "Good")</f>
        <v>Default</v>
      </c>
      <c r="AD910" s="3">
        <f t="shared" si="103"/>
        <v>1</v>
      </c>
      <c r="AE910" s="4">
        <v>14760.94</v>
      </c>
      <c r="AF910" s="4" t="str">
        <f>IF(fin_table[[#This Row],[Monthly Income]]&lt;3000, "Low Income", IF(fin_table[[#This Row],[Monthly Income]]&lt;=5000, "Middle Income", "High Income"))</f>
        <v>High Income</v>
      </c>
      <c r="AG910" t="s">
        <v>45</v>
      </c>
      <c r="AH910" t="s">
        <v>3635</v>
      </c>
      <c r="AI910" t="str">
        <f t="shared" si="104"/>
        <v>Low-Risk</v>
      </c>
    </row>
    <row r="911" spans="1:35" x14ac:dyDescent="0.35">
      <c r="A911" t="s">
        <v>3296</v>
      </c>
      <c r="B911" t="s">
        <v>3297</v>
      </c>
      <c r="C911" t="s">
        <v>3298</v>
      </c>
      <c r="D911" s="1">
        <v>44867</v>
      </c>
      <c r="E911" s="1" t="str">
        <f t="shared" si="98"/>
        <v>02</v>
      </c>
      <c r="F911" s="1" t="str">
        <f t="shared" si="99"/>
        <v>Nov</v>
      </c>
      <c r="G911" s="6" t="s">
        <v>23</v>
      </c>
      <c r="H911" s="5">
        <v>2546.6</v>
      </c>
      <c r="I911" s="5" t="str">
        <f>IF(fin_table[[#This Row],[Account Balance]]&lt;20000,"Active", "Not Active")</f>
        <v>Active</v>
      </c>
      <c r="J911" s="5">
        <v>6983.46</v>
      </c>
      <c r="K911" s="5" t="str">
        <f t="shared" si="100"/>
        <v>Low</v>
      </c>
      <c r="L911" s="6" t="s">
        <v>49</v>
      </c>
      <c r="M911">
        <v>41</v>
      </c>
      <c r="N911" s="6" t="str">
        <f t="shared" si="101"/>
        <v>Middle-Aged</v>
      </c>
      <c r="O911" s="6" t="s">
        <v>25</v>
      </c>
      <c r="P911" s="6" t="s">
        <v>36</v>
      </c>
      <c r="Q911" t="s">
        <v>3299</v>
      </c>
      <c r="R911" s="6" t="s">
        <v>28</v>
      </c>
      <c r="S911" s="6" t="s">
        <v>44</v>
      </c>
      <c r="T911" s="14">
        <v>1.38E-2</v>
      </c>
      <c r="U911">
        <v>1.38</v>
      </c>
      <c r="V911" t="str">
        <f>IF(fin_table[[#This Row],[Interest Rate(%)]]&gt;4,"high","low")</f>
        <v>low</v>
      </c>
      <c r="W911" s="5">
        <v>26681.654999999999</v>
      </c>
      <c r="X911" s="5">
        <f>fin_table[[#This Row],[Interest Rate]]*fin_table[[#This Row],[Loan Amount]]</f>
        <v>368.206839</v>
      </c>
      <c r="Y911">
        <v>13</v>
      </c>
      <c r="Z911" s="3">
        <v>362</v>
      </c>
      <c r="AA911" s="3" t="str">
        <f t="shared" si="102"/>
        <v>Poor</v>
      </c>
      <c r="AB911" s="3" cm="1">
        <f t="array" ref="AB911">_xlfn.IFS(fin_table[[#This Row],[Transaction Status]]="Failed", 1, fin_table[[#This Row],[Transaction Status]]="Completed",0,fin_table[[#This Row],[Transaction Status]]="Pending",2)</f>
        <v>0</v>
      </c>
      <c r="AC911" s="3" t="str">
        <f>IF(fin_table[[#This Row],[Loan Defaulters]]=1,"Default", "Good")</f>
        <v>Good</v>
      </c>
      <c r="AD911" s="3">
        <f t="shared" si="103"/>
        <v>1</v>
      </c>
      <c r="AE911" s="4">
        <v>12804.1</v>
      </c>
      <c r="AF911" s="4" t="str">
        <f>IF(fin_table[[#This Row],[Monthly Income]]&lt;3000, "Low Income", IF(fin_table[[#This Row],[Monthly Income]]&lt;=5000, "Middle Income", "High Income"))</f>
        <v>High Income</v>
      </c>
      <c r="AG911" t="s">
        <v>63</v>
      </c>
      <c r="AH911" t="s">
        <v>3635</v>
      </c>
      <c r="AI911" t="str">
        <f t="shared" si="104"/>
        <v>Low-Risk</v>
      </c>
    </row>
    <row r="912" spans="1:35" x14ac:dyDescent="0.35">
      <c r="A912" t="s">
        <v>3300</v>
      </c>
      <c r="B912" t="s">
        <v>3301</v>
      </c>
      <c r="C912" t="s">
        <v>3302</v>
      </c>
      <c r="D912" s="1">
        <v>44585</v>
      </c>
      <c r="E912" s="1" t="str">
        <f t="shared" si="98"/>
        <v>24</v>
      </c>
      <c r="F912" s="1" t="str">
        <f t="shared" si="99"/>
        <v>Jan</v>
      </c>
      <c r="G912" s="6" t="s">
        <v>56</v>
      </c>
      <c r="H912" s="5">
        <v>3622.96</v>
      </c>
      <c r="I912" s="5" t="str">
        <f>IF(fin_table[[#This Row],[Account Balance]]&lt;20000,"Active", "Not Active")</f>
        <v>Active</v>
      </c>
      <c r="J912" s="5">
        <v>6445.72</v>
      </c>
      <c r="K912" s="5" t="str">
        <f t="shared" si="100"/>
        <v>Low</v>
      </c>
      <c r="L912" s="6" t="s">
        <v>125</v>
      </c>
      <c r="M912">
        <v>22</v>
      </c>
      <c r="N912" s="6" t="str">
        <f t="shared" si="101"/>
        <v>Young Adults</v>
      </c>
      <c r="O912" s="6" t="s">
        <v>25</v>
      </c>
      <c r="P912" s="6" t="s">
        <v>36</v>
      </c>
      <c r="Q912" t="s">
        <v>1268</v>
      </c>
      <c r="R912" s="6" t="s">
        <v>52</v>
      </c>
      <c r="S912" s="6" t="s">
        <v>29</v>
      </c>
      <c r="T912" s="14">
        <v>4.8000000000000001E-2</v>
      </c>
      <c r="U912">
        <v>4.8000000000000001E-2</v>
      </c>
      <c r="V912" t="str">
        <f>IF(fin_table[[#This Row],[Interest Rate(%)]]&gt;4,"high","low")</f>
        <v>low</v>
      </c>
      <c r="W912" s="5">
        <v>29593.51</v>
      </c>
      <c r="X912" s="5">
        <f>fin_table[[#This Row],[Interest Rate]]*fin_table[[#This Row],[Loan Amount]]</f>
        <v>1420.48848</v>
      </c>
      <c r="Y912">
        <v>26</v>
      </c>
      <c r="Z912" s="3">
        <v>703</v>
      </c>
      <c r="AA912" s="3" t="str">
        <f t="shared" si="102"/>
        <v>Good</v>
      </c>
      <c r="AB912" s="3" cm="1">
        <f t="array" ref="AB912">_xlfn.IFS(fin_table[[#This Row],[Transaction Status]]="Failed", 1, fin_table[[#This Row],[Transaction Status]]="Completed",0,fin_table[[#This Row],[Transaction Status]]="Pending",2)</f>
        <v>1</v>
      </c>
      <c r="AC912" s="3" t="str">
        <f>IF(fin_table[[#This Row],[Loan Defaulters]]=1,"Default", "Good")</f>
        <v>Default</v>
      </c>
      <c r="AD912" s="3">
        <f t="shared" si="103"/>
        <v>3</v>
      </c>
      <c r="AE912" s="4">
        <v>13852.59</v>
      </c>
      <c r="AF912" s="4" t="str">
        <f>IF(fin_table[[#This Row],[Monthly Income]]&lt;3000, "Low Income", IF(fin_table[[#This Row],[Monthly Income]]&lt;=5000, "Middle Income", "High Income"))</f>
        <v>High Income</v>
      </c>
      <c r="AG912" t="s">
        <v>63</v>
      </c>
      <c r="AH912" t="s">
        <v>3636</v>
      </c>
      <c r="AI912" t="str">
        <f t="shared" si="104"/>
        <v>Low-Risk</v>
      </c>
    </row>
    <row r="913" spans="1:35" x14ac:dyDescent="0.35">
      <c r="A913" t="s">
        <v>3303</v>
      </c>
      <c r="B913" t="s">
        <v>3304</v>
      </c>
      <c r="C913" t="s">
        <v>3305</v>
      </c>
      <c r="D913" s="1">
        <v>44659</v>
      </c>
      <c r="E913" s="1" t="str">
        <f t="shared" si="98"/>
        <v>08</v>
      </c>
      <c r="F913" s="1" t="str">
        <f t="shared" si="99"/>
        <v>Apr</v>
      </c>
      <c r="G913" s="6" t="s">
        <v>56</v>
      </c>
      <c r="H913" s="5">
        <v>930.8</v>
      </c>
      <c r="I913" s="5" t="str">
        <f>IF(fin_table[[#This Row],[Account Balance]]&lt;20000,"Active", "Not Active")</f>
        <v>Not Active</v>
      </c>
      <c r="J913" s="5">
        <v>32757.15</v>
      </c>
      <c r="K913" s="5" t="str">
        <f t="shared" si="100"/>
        <v>Medium</v>
      </c>
      <c r="L913" s="6" t="s">
        <v>125</v>
      </c>
      <c r="M913">
        <v>37</v>
      </c>
      <c r="N913" s="6" t="str">
        <f t="shared" si="101"/>
        <v>Middle-Aged</v>
      </c>
      <c r="O913" s="6" t="s">
        <v>42</v>
      </c>
      <c r="P913" s="6" t="s">
        <v>36</v>
      </c>
      <c r="Q913" t="s">
        <v>1128</v>
      </c>
      <c r="R913" s="6" t="s">
        <v>52</v>
      </c>
      <c r="S913" s="6" t="s">
        <v>44</v>
      </c>
      <c r="T913" s="14">
        <v>4.9200000000000001E-2</v>
      </c>
      <c r="U913">
        <v>4.92</v>
      </c>
      <c r="V913" t="str">
        <f>IF(fin_table[[#This Row],[Interest Rate(%)]]&gt;4,"high","low")</f>
        <v>high</v>
      </c>
      <c r="W913" s="5">
        <v>27768.45</v>
      </c>
      <c r="X913" s="5">
        <f>fin_table[[#This Row],[Interest Rate]]*fin_table[[#This Row],[Loan Amount]]</f>
        <v>1366.2077400000001</v>
      </c>
      <c r="Y913">
        <v>21</v>
      </c>
      <c r="Z913" s="3">
        <v>491</v>
      </c>
      <c r="AA913" s="3" t="str">
        <f t="shared" si="102"/>
        <v>Poor</v>
      </c>
      <c r="AB913" s="3" cm="1">
        <f t="array" ref="AB913">_xlfn.IFS(fin_table[[#This Row],[Transaction Status]]="Failed", 1, fin_table[[#This Row],[Transaction Status]]="Completed",0,fin_table[[#This Row],[Transaction Status]]="Pending",2)</f>
        <v>0</v>
      </c>
      <c r="AC913" s="3" t="str">
        <f>IF(fin_table[[#This Row],[Loan Defaulters]]=1,"Default", "Good")</f>
        <v>Good</v>
      </c>
      <c r="AD913" s="3">
        <f t="shared" si="103"/>
        <v>1</v>
      </c>
      <c r="AE913" s="4">
        <v>5306.42</v>
      </c>
      <c r="AF913" s="4" t="str">
        <f>IF(fin_table[[#This Row],[Monthly Income]]&lt;3000, "Low Income", IF(fin_table[[#This Row],[Monthly Income]]&lt;=5000, "Middle Income", "High Income"))</f>
        <v>High Income</v>
      </c>
      <c r="AG913" t="s">
        <v>45</v>
      </c>
      <c r="AH913" t="s">
        <v>3636</v>
      </c>
      <c r="AI913" t="str">
        <f t="shared" si="104"/>
        <v>Low-Risk</v>
      </c>
    </row>
    <row r="914" spans="1:35" x14ac:dyDescent="0.35">
      <c r="A914" t="s">
        <v>3306</v>
      </c>
      <c r="B914" t="s">
        <v>3307</v>
      </c>
      <c r="C914" t="s">
        <v>3308</v>
      </c>
      <c r="D914" s="1">
        <v>45065</v>
      </c>
      <c r="E914" s="1" t="str">
        <f t="shared" si="98"/>
        <v>19</v>
      </c>
      <c r="F914" s="1" t="str">
        <f t="shared" si="99"/>
        <v>May</v>
      </c>
      <c r="G914" s="6" t="s">
        <v>71</v>
      </c>
      <c r="H914" s="5">
        <v>3401.28</v>
      </c>
      <c r="I914" s="5" t="str">
        <f>IF(fin_table[[#This Row],[Account Balance]]&lt;20000,"Active", "Not Active")</f>
        <v>Not Active</v>
      </c>
      <c r="J914" s="5">
        <v>43880.78</v>
      </c>
      <c r="K914" s="5" t="str">
        <f t="shared" si="100"/>
        <v>Medium</v>
      </c>
      <c r="L914" s="6" t="s">
        <v>35</v>
      </c>
      <c r="M914">
        <v>56</v>
      </c>
      <c r="N914" s="6" t="str">
        <f t="shared" si="101"/>
        <v>Older Adults</v>
      </c>
      <c r="O914" s="6" t="s">
        <v>42</v>
      </c>
      <c r="P914" s="6" t="s">
        <v>50</v>
      </c>
      <c r="Q914" t="s">
        <v>3309</v>
      </c>
      <c r="R914" s="6" t="s">
        <v>28</v>
      </c>
      <c r="S914" s="6" t="s">
        <v>29</v>
      </c>
      <c r="T914" s="14">
        <v>3.1800000000000002E-2</v>
      </c>
      <c r="U914">
        <v>3.18</v>
      </c>
      <c r="V914" t="str">
        <f>IF(fin_table[[#This Row],[Interest Rate(%)]]&gt;4,"high","low")</f>
        <v>low</v>
      </c>
      <c r="W914" s="5">
        <v>15005.89</v>
      </c>
      <c r="X914" s="5">
        <f>fin_table[[#This Row],[Interest Rate]]*fin_table[[#This Row],[Loan Amount]]</f>
        <v>477.18730199999999</v>
      </c>
      <c r="Y914">
        <v>13</v>
      </c>
      <c r="Z914" s="3">
        <v>592</v>
      </c>
      <c r="AA914" s="3" t="str">
        <f t="shared" si="102"/>
        <v>Fair</v>
      </c>
      <c r="AB914" s="3" cm="1">
        <f t="array" ref="AB914">_xlfn.IFS(fin_table[[#This Row],[Transaction Status]]="Failed", 1, fin_table[[#This Row],[Transaction Status]]="Completed",0,fin_table[[#This Row],[Transaction Status]]="Pending",2)</f>
        <v>1</v>
      </c>
      <c r="AC914" s="3" t="str">
        <f>IF(fin_table[[#This Row],[Loan Defaulters]]=1,"Default", "Good")</f>
        <v>Default</v>
      </c>
      <c r="AD914" s="3">
        <f t="shared" si="103"/>
        <v>2</v>
      </c>
      <c r="AE914" s="4">
        <v>12042.84</v>
      </c>
      <c r="AF914" s="4" t="str">
        <f>IF(fin_table[[#This Row],[Monthly Income]]&lt;3000, "Low Income", IF(fin_table[[#This Row],[Monthly Income]]&lt;=5000, "Middle Income", "High Income"))</f>
        <v>High Income</v>
      </c>
      <c r="AG914" t="s">
        <v>63</v>
      </c>
      <c r="AH914" t="s">
        <v>3636</v>
      </c>
      <c r="AI914" t="str">
        <f t="shared" si="104"/>
        <v>Low-Risk</v>
      </c>
    </row>
    <row r="915" spans="1:35" x14ac:dyDescent="0.35">
      <c r="A915" t="s">
        <v>3310</v>
      </c>
      <c r="B915" t="s">
        <v>3311</v>
      </c>
      <c r="C915" t="s">
        <v>3312</v>
      </c>
      <c r="D915" s="1">
        <v>45135</v>
      </c>
      <c r="E915" s="1" t="str">
        <f t="shared" si="98"/>
        <v>28</v>
      </c>
      <c r="F915" s="1" t="str">
        <f t="shared" si="99"/>
        <v>Jul</v>
      </c>
      <c r="G915" s="6" t="s">
        <v>23</v>
      </c>
      <c r="H915" s="5">
        <v>6807.66</v>
      </c>
      <c r="I915" s="5" t="str">
        <f>IF(fin_table[[#This Row],[Account Balance]]&lt;20000,"Active", "Not Active")</f>
        <v>Not Active</v>
      </c>
      <c r="J915" s="5">
        <v>39735.51</v>
      </c>
      <c r="K915" s="5" t="str">
        <f t="shared" si="100"/>
        <v>Medium</v>
      </c>
      <c r="L915" s="6" t="s">
        <v>49</v>
      </c>
      <c r="M915">
        <v>56</v>
      </c>
      <c r="N915" s="6" t="str">
        <f t="shared" si="101"/>
        <v>Older Adults</v>
      </c>
      <c r="O915" s="6" t="s">
        <v>42</v>
      </c>
      <c r="P915" s="6" t="s">
        <v>26</v>
      </c>
      <c r="Q915" t="s">
        <v>1999</v>
      </c>
      <c r="R915" s="6" t="s">
        <v>28</v>
      </c>
      <c r="S915" s="6" t="s">
        <v>44</v>
      </c>
      <c r="T915" s="14">
        <v>4.8000000000000001E-2</v>
      </c>
      <c r="U915">
        <v>4.8000000000000001E-2</v>
      </c>
      <c r="V915" t="str">
        <f>IF(fin_table[[#This Row],[Interest Rate(%)]]&gt;4,"high","low")</f>
        <v>low</v>
      </c>
      <c r="W915" s="5">
        <v>26681.654999999999</v>
      </c>
      <c r="X915" s="5">
        <f>fin_table[[#This Row],[Interest Rate]]*fin_table[[#This Row],[Loan Amount]]</f>
        <v>1280.7194400000001</v>
      </c>
      <c r="Y915">
        <v>13</v>
      </c>
      <c r="Z915" s="3">
        <v>330</v>
      </c>
      <c r="AA915" s="3" t="str">
        <f t="shared" si="102"/>
        <v>Poor</v>
      </c>
      <c r="AB915" s="3" cm="1">
        <f t="array" ref="AB915">_xlfn.IFS(fin_table[[#This Row],[Transaction Status]]="Failed", 1, fin_table[[#This Row],[Transaction Status]]="Completed",0,fin_table[[#This Row],[Transaction Status]]="Pending",2)</f>
        <v>0</v>
      </c>
      <c r="AC915" s="3" t="str">
        <f>IF(fin_table[[#This Row],[Loan Defaulters]]=1,"Default", "Good")</f>
        <v>Good</v>
      </c>
      <c r="AD915" s="3">
        <f t="shared" si="103"/>
        <v>1</v>
      </c>
      <c r="AE915" s="4">
        <v>5451.15</v>
      </c>
      <c r="AF915" s="4" t="str">
        <f>IF(fin_table[[#This Row],[Monthly Income]]&lt;3000, "Low Income", IF(fin_table[[#This Row],[Monthly Income]]&lt;=5000, "Middle Income", "High Income"))</f>
        <v>High Income</v>
      </c>
      <c r="AG915" t="s">
        <v>30</v>
      </c>
      <c r="AH915" t="s">
        <v>3635</v>
      </c>
      <c r="AI915" t="str">
        <f t="shared" si="104"/>
        <v>Low-Risk</v>
      </c>
    </row>
    <row r="916" spans="1:35" x14ac:dyDescent="0.35">
      <c r="A916" t="s">
        <v>3313</v>
      </c>
      <c r="B916" t="s">
        <v>3314</v>
      </c>
      <c r="C916" t="s">
        <v>3315</v>
      </c>
      <c r="D916" s="1">
        <v>44682</v>
      </c>
      <c r="E916" s="1" t="str">
        <f t="shared" si="98"/>
        <v>01</v>
      </c>
      <c r="F916" s="1" t="str">
        <f t="shared" si="99"/>
        <v>May</v>
      </c>
      <c r="G916" s="6" t="s">
        <v>23</v>
      </c>
      <c r="H916" s="5">
        <v>813.9</v>
      </c>
      <c r="I916" s="5" t="str">
        <f>IF(fin_table[[#This Row],[Account Balance]]&lt;20000,"Active", "Not Active")</f>
        <v>Active</v>
      </c>
      <c r="J916" s="5">
        <v>7914.27</v>
      </c>
      <c r="K916" s="5" t="str">
        <f t="shared" si="100"/>
        <v>Low</v>
      </c>
      <c r="L916" s="6" t="s">
        <v>100</v>
      </c>
      <c r="M916">
        <v>30</v>
      </c>
      <c r="N916" s="6" t="str">
        <f t="shared" si="101"/>
        <v>Adults</v>
      </c>
      <c r="O916" s="6" t="s">
        <v>25</v>
      </c>
      <c r="P916" s="6" t="s">
        <v>26</v>
      </c>
      <c r="Q916" t="s">
        <v>3316</v>
      </c>
      <c r="R916" s="6" t="s">
        <v>28</v>
      </c>
      <c r="S916" s="6" t="s">
        <v>44</v>
      </c>
      <c r="T916" s="14">
        <v>1.72E-2</v>
      </c>
      <c r="U916">
        <v>1.72</v>
      </c>
      <c r="V916" t="str">
        <f>IF(fin_table[[#This Row],[Interest Rate(%)]]&gt;4,"high","low")</f>
        <v>low</v>
      </c>
      <c r="W916" s="5">
        <v>11326.32</v>
      </c>
      <c r="X916" s="5">
        <f>fin_table[[#This Row],[Interest Rate]]*fin_table[[#This Row],[Loan Amount]]</f>
        <v>194.812704</v>
      </c>
      <c r="Y916">
        <v>13</v>
      </c>
      <c r="Z916" s="3">
        <v>629</v>
      </c>
      <c r="AA916" s="3" t="str">
        <f t="shared" si="102"/>
        <v>Fair</v>
      </c>
      <c r="AB916" s="3" cm="1">
        <f t="array" ref="AB916">_xlfn.IFS(fin_table[[#This Row],[Transaction Status]]="Failed", 1, fin_table[[#This Row],[Transaction Status]]="Completed",0,fin_table[[#This Row],[Transaction Status]]="Pending",2)</f>
        <v>0</v>
      </c>
      <c r="AC916" s="3" t="str">
        <f>IF(fin_table[[#This Row],[Loan Defaulters]]=1,"Default", "Good")</f>
        <v>Good</v>
      </c>
      <c r="AD916" s="3">
        <f t="shared" si="103"/>
        <v>2</v>
      </c>
      <c r="AE916" s="4">
        <v>4713.6499999999996</v>
      </c>
      <c r="AF916" s="4" t="str">
        <f>IF(fin_table[[#This Row],[Monthly Income]]&lt;3000, "Low Income", IF(fin_table[[#This Row],[Monthly Income]]&lt;=5000, "Middle Income", "High Income"))</f>
        <v>Middle Income</v>
      </c>
      <c r="AG916" t="s">
        <v>30</v>
      </c>
      <c r="AH916" t="s">
        <v>3636</v>
      </c>
      <c r="AI916" t="str">
        <f t="shared" si="104"/>
        <v>Low-Risk</v>
      </c>
    </row>
    <row r="917" spans="1:35" x14ac:dyDescent="0.35">
      <c r="A917" t="s">
        <v>3317</v>
      </c>
      <c r="B917" t="s">
        <v>3318</v>
      </c>
      <c r="C917" t="s">
        <v>3319</v>
      </c>
      <c r="D917" s="1">
        <v>44988</v>
      </c>
      <c r="E917" s="1" t="str">
        <f t="shared" si="98"/>
        <v>03</v>
      </c>
      <c r="F917" s="1" t="str">
        <f t="shared" si="99"/>
        <v>Mar</v>
      </c>
      <c r="G917" s="6" t="s">
        <v>56</v>
      </c>
      <c r="H917" s="5">
        <v>2133.4699999999998</v>
      </c>
      <c r="I917" s="5" t="str">
        <f>IF(fin_table[[#This Row],[Account Balance]]&lt;20000,"Active", "Not Active")</f>
        <v>Not Active</v>
      </c>
      <c r="J917" s="5">
        <v>27733.52</v>
      </c>
      <c r="K917" s="5" t="str">
        <f t="shared" si="100"/>
        <v>Medium</v>
      </c>
      <c r="L917" s="6" t="s">
        <v>100</v>
      </c>
      <c r="M917">
        <v>58</v>
      </c>
      <c r="N917" s="6" t="str">
        <f t="shared" si="101"/>
        <v>Older Adults</v>
      </c>
      <c r="O917" s="6" t="s">
        <v>42</v>
      </c>
      <c r="P917" s="6" t="s">
        <v>36</v>
      </c>
      <c r="Q917" t="s">
        <v>925</v>
      </c>
      <c r="R917" s="6" t="s">
        <v>28</v>
      </c>
      <c r="S917" s="6" t="s">
        <v>44</v>
      </c>
      <c r="T917" s="14">
        <v>1.0999999999999999E-2</v>
      </c>
      <c r="U917">
        <v>1.0999999999999999E-2</v>
      </c>
      <c r="V917" t="str">
        <f>IF(fin_table[[#This Row],[Interest Rate(%)]]&gt;4,"high","low")</f>
        <v>low</v>
      </c>
      <c r="W917" s="5">
        <v>26681.654999999999</v>
      </c>
      <c r="X917" s="5">
        <f>fin_table[[#This Row],[Interest Rate]]*fin_table[[#This Row],[Loan Amount]]</f>
        <v>293.49820499999998</v>
      </c>
      <c r="Y917">
        <v>1</v>
      </c>
      <c r="Z917" s="3">
        <v>406</v>
      </c>
      <c r="AA917" s="3" t="str">
        <f t="shared" si="102"/>
        <v>Poor</v>
      </c>
      <c r="AB917" s="3" cm="1">
        <f t="array" ref="AB917">_xlfn.IFS(fin_table[[#This Row],[Transaction Status]]="Failed", 1, fin_table[[#This Row],[Transaction Status]]="Completed",0,fin_table[[#This Row],[Transaction Status]]="Pending",2)</f>
        <v>0</v>
      </c>
      <c r="AC917" s="3" t="str">
        <f>IF(fin_table[[#This Row],[Loan Defaulters]]=1,"Default", "Good")</f>
        <v>Good</v>
      </c>
      <c r="AD917" s="3">
        <f t="shared" si="103"/>
        <v>1</v>
      </c>
      <c r="AE917" s="4">
        <v>14275.46</v>
      </c>
      <c r="AF917" s="4" t="str">
        <f>IF(fin_table[[#This Row],[Monthly Income]]&lt;3000, "Low Income", IF(fin_table[[#This Row],[Monthly Income]]&lt;=5000, "Middle Income", "High Income"))</f>
        <v>High Income</v>
      </c>
      <c r="AG917" t="s">
        <v>30</v>
      </c>
      <c r="AH917" t="s">
        <v>3635</v>
      </c>
      <c r="AI917" t="str">
        <f t="shared" si="104"/>
        <v>Low-Risk</v>
      </c>
    </row>
    <row r="918" spans="1:35" x14ac:dyDescent="0.35">
      <c r="A918" t="s">
        <v>3320</v>
      </c>
      <c r="B918" t="s">
        <v>3321</v>
      </c>
      <c r="C918" t="s">
        <v>3322</v>
      </c>
      <c r="D918" s="1">
        <v>44707</v>
      </c>
      <c r="E918" s="1" t="str">
        <f t="shared" si="98"/>
        <v>26</v>
      </c>
      <c r="F918" s="1" t="str">
        <f t="shared" si="99"/>
        <v>May</v>
      </c>
      <c r="G918" s="6" t="s">
        <v>71</v>
      </c>
      <c r="H918" s="5">
        <v>3876.27</v>
      </c>
      <c r="I918" s="5" t="str">
        <f>IF(fin_table[[#This Row],[Account Balance]]&lt;20000,"Active", "Not Active")</f>
        <v>Active</v>
      </c>
      <c r="J918" s="5">
        <v>6173.99</v>
      </c>
      <c r="K918" s="5" t="str">
        <f t="shared" si="100"/>
        <v>Low</v>
      </c>
      <c r="L918" s="6" t="s">
        <v>100</v>
      </c>
      <c r="M918">
        <v>62</v>
      </c>
      <c r="N918" s="6" t="str">
        <f t="shared" si="101"/>
        <v>Seniors</v>
      </c>
      <c r="O918" s="6" t="s">
        <v>25</v>
      </c>
      <c r="P918" s="6" t="s">
        <v>50</v>
      </c>
      <c r="Q918" t="s">
        <v>966</v>
      </c>
      <c r="R918" s="6" t="s">
        <v>38</v>
      </c>
      <c r="S918" s="6" t="s">
        <v>62</v>
      </c>
      <c r="T918" s="14">
        <v>1.1599999999999999E-2</v>
      </c>
      <c r="U918">
        <v>1.1599999999999999</v>
      </c>
      <c r="V918" t="str">
        <f>IF(fin_table[[#This Row],[Interest Rate(%)]]&gt;4,"high","low")</f>
        <v>low</v>
      </c>
      <c r="W918" s="5">
        <v>35415.129999999997</v>
      </c>
      <c r="X918" s="5">
        <f>fin_table[[#This Row],[Interest Rate]]*fin_table[[#This Row],[Loan Amount]]</f>
        <v>410.81550799999997</v>
      </c>
      <c r="Y918">
        <v>14</v>
      </c>
      <c r="Z918" s="3">
        <v>575</v>
      </c>
      <c r="AA918" s="3" t="str">
        <f t="shared" si="102"/>
        <v>Poor</v>
      </c>
      <c r="AB918" s="3" cm="1">
        <f t="array" ref="AB918">_xlfn.IFS(fin_table[[#This Row],[Transaction Status]]="Failed", 1, fin_table[[#This Row],[Transaction Status]]="Completed",0,fin_table[[#This Row],[Transaction Status]]="Pending",2)</f>
        <v>2</v>
      </c>
      <c r="AC918" s="3" t="str">
        <f>IF(fin_table[[#This Row],[Loan Defaulters]]=1,"Default", "Good")</f>
        <v>Good</v>
      </c>
      <c r="AD918" s="3">
        <f t="shared" si="103"/>
        <v>1</v>
      </c>
      <c r="AE918" s="4">
        <v>2250.96</v>
      </c>
      <c r="AF918" s="4" t="str">
        <f>IF(fin_table[[#This Row],[Monthly Income]]&lt;3000, "Low Income", IF(fin_table[[#This Row],[Monthly Income]]&lt;=5000, "Middle Income", "High Income"))</f>
        <v>Low Income</v>
      </c>
      <c r="AG918" t="s">
        <v>63</v>
      </c>
      <c r="AH918" t="s">
        <v>3636</v>
      </c>
      <c r="AI918" t="str">
        <f t="shared" si="104"/>
        <v>High-Risk</v>
      </c>
    </row>
    <row r="919" spans="1:35" x14ac:dyDescent="0.35">
      <c r="A919" t="s">
        <v>3323</v>
      </c>
      <c r="B919" t="s">
        <v>3324</v>
      </c>
      <c r="C919" t="s">
        <v>3325</v>
      </c>
      <c r="D919" s="1">
        <v>44906</v>
      </c>
      <c r="E919" s="1" t="str">
        <f t="shared" si="98"/>
        <v>11</v>
      </c>
      <c r="F919" s="1" t="str">
        <f t="shared" si="99"/>
        <v>Dec</v>
      </c>
      <c r="G919" s="6" t="s">
        <v>23</v>
      </c>
      <c r="H919" s="5">
        <v>9822.2900000000009</v>
      </c>
      <c r="I919" s="5" t="str">
        <f>IF(fin_table[[#This Row],[Account Balance]]&lt;20000,"Active", "Not Active")</f>
        <v>Active</v>
      </c>
      <c r="J919" s="5">
        <v>3219.44</v>
      </c>
      <c r="K919" s="5" t="str">
        <f t="shared" si="100"/>
        <v>Low</v>
      </c>
      <c r="L919" s="6" t="s">
        <v>125</v>
      </c>
      <c r="M919">
        <v>29</v>
      </c>
      <c r="N919" s="6" t="str">
        <f t="shared" si="101"/>
        <v>Adults</v>
      </c>
      <c r="O919" s="6" t="s">
        <v>42</v>
      </c>
      <c r="P919" s="6" t="s">
        <v>26</v>
      </c>
      <c r="Q919" t="s">
        <v>3326</v>
      </c>
      <c r="R919" s="6" t="s">
        <v>52</v>
      </c>
      <c r="S919" s="6" t="s">
        <v>29</v>
      </c>
      <c r="T919" s="14">
        <v>3.3500000000000002E-2</v>
      </c>
      <c r="U919">
        <v>3.35</v>
      </c>
      <c r="V919" t="str">
        <f>IF(fin_table[[#This Row],[Interest Rate(%)]]&gt;4,"high","low")</f>
        <v>low</v>
      </c>
      <c r="W919" s="5">
        <v>26681.654999999999</v>
      </c>
      <c r="X919" s="5">
        <f>fin_table[[#This Row],[Interest Rate]]*fin_table[[#This Row],[Loan Amount]]</f>
        <v>893.8354425</v>
      </c>
      <c r="Y919">
        <v>13</v>
      </c>
      <c r="Z919" s="3">
        <v>381</v>
      </c>
      <c r="AA919" s="3" t="str">
        <f t="shared" si="102"/>
        <v>Poor</v>
      </c>
      <c r="AB919" s="3" cm="1">
        <f t="array" ref="AB919">_xlfn.IFS(fin_table[[#This Row],[Transaction Status]]="Failed", 1, fin_table[[#This Row],[Transaction Status]]="Completed",0,fin_table[[#This Row],[Transaction Status]]="Pending",2)</f>
        <v>1</v>
      </c>
      <c r="AC919" s="3" t="str">
        <f>IF(fin_table[[#This Row],[Loan Defaulters]]=1,"Default", "Good")</f>
        <v>Default</v>
      </c>
      <c r="AD919" s="3">
        <f t="shared" si="103"/>
        <v>1</v>
      </c>
      <c r="AE919" s="4">
        <v>14550.05</v>
      </c>
      <c r="AF919" s="4" t="str">
        <f>IF(fin_table[[#This Row],[Monthly Income]]&lt;3000, "Low Income", IF(fin_table[[#This Row],[Monthly Income]]&lt;=5000, "Middle Income", "High Income"))</f>
        <v>High Income</v>
      </c>
      <c r="AG919" t="s">
        <v>63</v>
      </c>
      <c r="AH919" t="s">
        <v>3635</v>
      </c>
      <c r="AI919" t="str">
        <f t="shared" si="104"/>
        <v>Low-Risk</v>
      </c>
    </row>
    <row r="920" spans="1:35" x14ac:dyDescent="0.35">
      <c r="A920" t="s">
        <v>3327</v>
      </c>
      <c r="B920" t="s">
        <v>3328</v>
      </c>
      <c r="C920" t="s">
        <v>3329</v>
      </c>
      <c r="D920" s="1">
        <v>45011</v>
      </c>
      <c r="E920" s="1" t="str">
        <f t="shared" si="98"/>
        <v>26</v>
      </c>
      <c r="F920" s="1" t="str">
        <f t="shared" si="99"/>
        <v>Mar</v>
      </c>
      <c r="G920" s="6" t="s">
        <v>34</v>
      </c>
      <c r="H920" s="5">
        <v>7870.13</v>
      </c>
      <c r="I920" s="5" t="str">
        <f>IF(fin_table[[#This Row],[Account Balance]]&lt;20000,"Active", "Not Active")</f>
        <v>Not Active</v>
      </c>
      <c r="J920" s="5">
        <v>33162.910000000003</v>
      </c>
      <c r="K920" s="5" t="str">
        <f t="shared" si="100"/>
        <v>Medium</v>
      </c>
      <c r="L920" s="6" t="s">
        <v>49</v>
      </c>
      <c r="M920">
        <v>30</v>
      </c>
      <c r="N920" s="6" t="str">
        <f t="shared" si="101"/>
        <v>Adults</v>
      </c>
      <c r="O920" s="6" t="s">
        <v>42</v>
      </c>
      <c r="P920" s="6" t="s">
        <v>26</v>
      </c>
      <c r="Q920" t="s">
        <v>2975</v>
      </c>
      <c r="R920" s="6" t="s">
        <v>38</v>
      </c>
      <c r="S920" s="6" t="s">
        <v>44</v>
      </c>
      <c r="T920" s="14">
        <v>1.2500000000000001E-2</v>
      </c>
      <c r="U920">
        <v>1.25</v>
      </c>
      <c r="V920" t="str">
        <f>IF(fin_table[[#This Row],[Interest Rate(%)]]&gt;4,"high","low")</f>
        <v>low</v>
      </c>
      <c r="W920" s="5">
        <v>9144.3799999999992</v>
      </c>
      <c r="X920" s="5">
        <f>fin_table[[#This Row],[Interest Rate]]*fin_table[[#This Row],[Loan Amount]]</f>
        <v>114.30475</v>
      </c>
      <c r="Y920">
        <v>2</v>
      </c>
      <c r="Z920" s="3">
        <v>363</v>
      </c>
      <c r="AA920" s="3" t="str">
        <f t="shared" si="102"/>
        <v>Poor</v>
      </c>
      <c r="AB920" s="3" cm="1">
        <f t="array" ref="AB920">_xlfn.IFS(fin_table[[#This Row],[Transaction Status]]="Failed", 1, fin_table[[#This Row],[Transaction Status]]="Completed",0,fin_table[[#This Row],[Transaction Status]]="Pending",2)</f>
        <v>0</v>
      </c>
      <c r="AC920" s="3" t="str">
        <f>IF(fin_table[[#This Row],[Loan Defaulters]]=1,"Default", "Good")</f>
        <v>Good</v>
      </c>
      <c r="AD920" s="3">
        <f t="shared" si="103"/>
        <v>1</v>
      </c>
      <c r="AE920" s="4">
        <v>3940.4</v>
      </c>
      <c r="AF920" s="4" t="str">
        <f>IF(fin_table[[#This Row],[Monthly Income]]&lt;3000, "Low Income", IF(fin_table[[#This Row],[Monthly Income]]&lt;=5000, "Middle Income", "High Income"))</f>
        <v>Middle Income</v>
      </c>
      <c r="AG920" t="s">
        <v>45</v>
      </c>
      <c r="AH920" t="s">
        <v>3636</v>
      </c>
      <c r="AI920" t="str">
        <f t="shared" si="104"/>
        <v>Low-Risk</v>
      </c>
    </row>
    <row r="921" spans="1:35" x14ac:dyDescent="0.35">
      <c r="A921" t="s">
        <v>3330</v>
      </c>
      <c r="B921" t="s">
        <v>2484</v>
      </c>
      <c r="C921" t="s">
        <v>3331</v>
      </c>
      <c r="D921" s="1">
        <v>44615</v>
      </c>
      <c r="E921" s="1" t="str">
        <f t="shared" si="98"/>
        <v>23</v>
      </c>
      <c r="F921" s="1" t="str">
        <f t="shared" si="99"/>
        <v>Feb</v>
      </c>
      <c r="G921" s="6" t="s">
        <v>56</v>
      </c>
      <c r="H921" s="5">
        <v>7361.52</v>
      </c>
      <c r="I921" s="5" t="str">
        <f>IF(fin_table[[#This Row],[Account Balance]]&lt;20000,"Active", "Not Active")</f>
        <v>Not Active</v>
      </c>
      <c r="J921" s="5">
        <v>27222.46</v>
      </c>
      <c r="K921" s="5" t="str">
        <f t="shared" si="100"/>
        <v>Medium</v>
      </c>
      <c r="L921" s="6" t="s">
        <v>49</v>
      </c>
      <c r="M921">
        <v>27</v>
      </c>
      <c r="N921" s="6" t="str">
        <f t="shared" si="101"/>
        <v>Adults</v>
      </c>
      <c r="O921" s="6" t="s">
        <v>42</v>
      </c>
      <c r="P921" s="6" t="s">
        <v>36</v>
      </c>
      <c r="Q921" t="s">
        <v>3332</v>
      </c>
      <c r="R921" s="6" t="s">
        <v>28</v>
      </c>
      <c r="S921" s="6" t="s">
        <v>62</v>
      </c>
      <c r="T921" s="14">
        <v>4.8300000000000003E-2</v>
      </c>
      <c r="U921">
        <v>4.83</v>
      </c>
      <c r="V921" t="str">
        <f>IF(fin_table[[#This Row],[Interest Rate(%)]]&gt;4,"high","low")</f>
        <v>high</v>
      </c>
      <c r="W921" s="5">
        <v>26681.654999999999</v>
      </c>
      <c r="X921" s="5">
        <f>fin_table[[#This Row],[Interest Rate]]*fin_table[[#This Row],[Loan Amount]]</f>
        <v>1288.7239365</v>
      </c>
      <c r="Y921">
        <v>19</v>
      </c>
      <c r="Z921" s="3">
        <v>428</v>
      </c>
      <c r="AA921" s="3" t="str">
        <f t="shared" si="102"/>
        <v>Poor</v>
      </c>
      <c r="AB921" s="3" cm="1">
        <f t="array" ref="AB921">_xlfn.IFS(fin_table[[#This Row],[Transaction Status]]="Failed", 1, fin_table[[#This Row],[Transaction Status]]="Completed",0,fin_table[[#This Row],[Transaction Status]]="Pending",2)</f>
        <v>2</v>
      </c>
      <c r="AC921" s="3" t="str">
        <f>IF(fin_table[[#This Row],[Loan Defaulters]]=1,"Default", "Good")</f>
        <v>Good</v>
      </c>
      <c r="AD921" s="3">
        <f t="shared" si="103"/>
        <v>1</v>
      </c>
      <c r="AE921" s="4">
        <v>12652.7</v>
      </c>
      <c r="AF921" s="4" t="str">
        <f>IF(fin_table[[#This Row],[Monthly Income]]&lt;3000, "Low Income", IF(fin_table[[#This Row],[Monthly Income]]&lt;=5000, "Middle Income", "High Income"))</f>
        <v>High Income</v>
      </c>
      <c r="AG921" t="s">
        <v>30</v>
      </c>
      <c r="AH921" t="s">
        <v>3635</v>
      </c>
      <c r="AI921" t="str">
        <f t="shared" si="104"/>
        <v>Low-Risk</v>
      </c>
    </row>
    <row r="922" spans="1:35" x14ac:dyDescent="0.35">
      <c r="A922" t="s">
        <v>3333</v>
      </c>
      <c r="B922" t="s">
        <v>3334</v>
      </c>
      <c r="C922" t="s">
        <v>3335</v>
      </c>
      <c r="D922" s="1">
        <v>44749</v>
      </c>
      <c r="E922" s="1" t="str">
        <f t="shared" si="98"/>
        <v>07</v>
      </c>
      <c r="F922" s="1" t="str">
        <f t="shared" si="99"/>
        <v>Jul</v>
      </c>
      <c r="G922" s="6" t="s">
        <v>23</v>
      </c>
      <c r="H922" s="5">
        <v>1250.29</v>
      </c>
      <c r="I922" s="5" t="str">
        <f>IF(fin_table[[#This Row],[Account Balance]]&lt;20000,"Active", "Not Active")</f>
        <v>Active</v>
      </c>
      <c r="J922" s="5">
        <v>5019.16</v>
      </c>
      <c r="K922" s="5" t="str">
        <f t="shared" si="100"/>
        <v>Low</v>
      </c>
      <c r="L922" s="6" t="s">
        <v>125</v>
      </c>
      <c r="M922">
        <v>50</v>
      </c>
      <c r="N922" s="6" t="str">
        <f t="shared" si="101"/>
        <v>Older Adults</v>
      </c>
      <c r="O922" s="6" t="s">
        <v>25</v>
      </c>
      <c r="P922" s="6" t="s">
        <v>36</v>
      </c>
      <c r="Q922" t="s">
        <v>1136</v>
      </c>
      <c r="R922" s="6" t="s">
        <v>38</v>
      </c>
      <c r="S922" s="6" t="s">
        <v>44</v>
      </c>
      <c r="T922" s="14">
        <v>1.5699999999999999E-2</v>
      </c>
      <c r="U922">
        <v>1.57</v>
      </c>
      <c r="V922" t="str">
        <f>IF(fin_table[[#This Row],[Interest Rate(%)]]&gt;4,"high","low")</f>
        <v>low</v>
      </c>
      <c r="W922" s="5">
        <v>44472.14</v>
      </c>
      <c r="X922" s="5">
        <f>fin_table[[#This Row],[Interest Rate]]*fin_table[[#This Row],[Loan Amount]]</f>
        <v>698.21259799999996</v>
      </c>
      <c r="Y922">
        <v>15</v>
      </c>
      <c r="Z922" s="3">
        <v>555</v>
      </c>
      <c r="AA922" s="3" t="str">
        <f t="shared" si="102"/>
        <v>Poor</v>
      </c>
      <c r="AB922" s="3" cm="1">
        <f t="array" ref="AB922">_xlfn.IFS(fin_table[[#This Row],[Transaction Status]]="Failed", 1, fin_table[[#This Row],[Transaction Status]]="Completed",0,fin_table[[#This Row],[Transaction Status]]="Pending",2)</f>
        <v>0</v>
      </c>
      <c r="AC922" s="3" t="str">
        <f>IF(fin_table[[#This Row],[Loan Defaulters]]=1,"Default", "Good")</f>
        <v>Good</v>
      </c>
      <c r="AD922" s="3">
        <f t="shared" si="103"/>
        <v>1</v>
      </c>
      <c r="AE922" s="4">
        <v>5586.99</v>
      </c>
      <c r="AF922" s="4" t="str">
        <f>IF(fin_table[[#This Row],[Monthly Income]]&lt;3000, "Low Income", IF(fin_table[[#This Row],[Monthly Income]]&lt;=5000, "Middle Income", "High Income"))</f>
        <v>High Income</v>
      </c>
      <c r="AG922" t="s">
        <v>45</v>
      </c>
      <c r="AH922" t="s">
        <v>3636</v>
      </c>
      <c r="AI922" t="str">
        <f t="shared" si="104"/>
        <v>High-Risk</v>
      </c>
    </row>
    <row r="923" spans="1:35" x14ac:dyDescent="0.35">
      <c r="A923" t="s">
        <v>3336</v>
      </c>
      <c r="B923" t="s">
        <v>3337</v>
      </c>
      <c r="C923" t="s">
        <v>3338</v>
      </c>
      <c r="D923" s="1">
        <v>45021</v>
      </c>
      <c r="E923" s="1" t="str">
        <f t="shared" si="98"/>
        <v>05</v>
      </c>
      <c r="F923" s="1" t="str">
        <f t="shared" si="99"/>
        <v>Apr</v>
      </c>
      <c r="G923" s="6" t="s">
        <v>34</v>
      </c>
      <c r="H923" s="5">
        <v>7831.86</v>
      </c>
      <c r="I923" s="5" t="str">
        <f>IF(fin_table[[#This Row],[Account Balance]]&lt;20000,"Active", "Not Active")</f>
        <v>Active</v>
      </c>
      <c r="J923" s="5">
        <v>2712.02</v>
      </c>
      <c r="K923" s="5" t="str">
        <f t="shared" si="100"/>
        <v>Low</v>
      </c>
      <c r="L923" s="6" t="s">
        <v>100</v>
      </c>
      <c r="M923">
        <v>57</v>
      </c>
      <c r="N923" s="6" t="str">
        <f t="shared" si="101"/>
        <v>Older Adults</v>
      </c>
      <c r="O923" s="6" t="s">
        <v>25</v>
      </c>
      <c r="P923" s="6" t="s">
        <v>26</v>
      </c>
      <c r="Q923" t="s">
        <v>3339</v>
      </c>
      <c r="R923" s="6" t="s">
        <v>38</v>
      </c>
      <c r="S923" s="6" t="s">
        <v>62</v>
      </c>
      <c r="T923" s="14">
        <v>2.2200000000000001E-2</v>
      </c>
      <c r="U923">
        <v>2.2200000000000002</v>
      </c>
      <c r="V923" t="str">
        <f>IF(fin_table[[#This Row],[Interest Rate(%)]]&gt;4,"high","low")</f>
        <v>low</v>
      </c>
      <c r="W923" s="5">
        <v>22786.43</v>
      </c>
      <c r="X923" s="5">
        <f>fin_table[[#This Row],[Interest Rate]]*fin_table[[#This Row],[Loan Amount]]</f>
        <v>505.85874600000005</v>
      </c>
      <c r="Y923">
        <v>28</v>
      </c>
      <c r="Z923" s="3">
        <v>530</v>
      </c>
      <c r="AA923" s="3" t="str">
        <f t="shared" si="102"/>
        <v>Poor</v>
      </c>
      <c r="AB923" s="3" cm="1">
        <f t="array" ref="AB923">_xlfn.IFS(fin_table[[#This Row],[Transaction Status]]="Failed", 1, fin_table[[#This Row],[Transaction Status]]="Completed",0,fin_table[[#This Row],[Transaction Status]]="Pending",2)</f>
        <v>2</v>
      </c>
      <c r="AC923" s="3" t="str">
        <f>IF(fin_table[[#This Row],[Loan Defaulters]]=1,"Default", "Good")</f>
        <v>Good</v>
      </c>
      <c r="AD923" s="3">
        <f t="shared" si="103"/>
        <v>1</v>
      </c>
      <c r="AE923" s="4">
        <v>6559.13</v>
      </c>
      <c r="AF923" s="4" t="str">
        <f>IF(fin_table[[#This Row],[Monthly Income]]&lt;3000, "Low Income", IF(fin_table[[#This Row],[Monthly Income]]&lt;=5000, "Middle Income", "High Income"))</f>
        <v>High Income</v>
      </c>
      <c r="AG923" t="s">
        <v>63</v>
      </c>
      <c r="AH923" t="s">
        <v>3636</v>
      </c>
      <c r="AI923" t="str">
        <f t="shared" si="104"/>
        <v>Low-Risk</v>
      </c>
    </row>
    <row r="924" spans="1:35" x14ac:dyDescent="0.35">
      <c r="A924" t="s">
        <v>3340</v>
      </c>
      <c r="B924" t="s">
        <v>3341</v>
      </c>
      <c r="C924" t="s">
        <v>3342</v>
      </c>
      <c r="D924" s="1">
        <v>45102</v>
      </c>
      <c r="E924" s="1" t="str">
        <f t="shared" si="98"/>
        <v>25</v>
      </c>
      <c r="F924" s="1" t="str">
        <f t="shared" si="99"/>
        <v>Jun</v>
      </c>
      <c r="G924" s="6" t="s">
        <v>23</v>
      </c>
      <c r="H924" s="5">
        <v>7874.16</v>
      </c>
      <c r="I924" s="5" t="str">
        <f>IF(fin_table[[#This Row],[Account Balance]]&lt;20000,"Active", "Not Active")</f>
        <v>Not Active</v>
      </c>
      <c r="J924" s="5">
        <v>49498.06</v>
      </c>
      <c r="K924" s="5" t="str">
        <f t="shared" si="100"/>
        <v>Medium</v>
      </c>
      <c r="L924" s="6" t="s">
        <v>100</v>
      </c>
      <c r="M924">
        <v>33</v>
      </c>
      <c r="N924" s="6" t="str">
        <f t="shared" si="101"/>
        <v>Adults</v>
      </c>
      <c r="O924" s="6" t="s">
        <v>25</v>
      </c>
      <c r="P924" s="6" t="s">
        <v>26</v>
      </c>
      <c r="Q924" t="s">
        <v>2949</v>
      </c>
      <c r="R924" s="6" t="s">
        <v>52</v>
      </c>
      <c r="S924" s="6" t="s">
        <v>44</v>
      </c>
      <c r="T924" s="14">
        <v>4.2900000000000001E-2</v>
      </c>
      <c r="U924">
        <v>4.29</v>
      </c>
      <c r="V924" t="str">
        <f>IF(fin_table[[#This Row],[Interest Rate(%)]]&gt;4,"high","low")</f>
        <v>high</v>
      </c>
      <c r="W924" s="5">
        <v>25983.63</v>
      </c>
      <c r="X924" s="5">
        <f>fin_table[[#This Row],[Interest Rate]]*fin_table[[#This Row],[Loan Amount]]</f>
        <v>1114.697727</v>
      </c>
      <c r="Y924">
        <v>13</v>
      </c>
      <c r="Z924" s="3">
        <v>796</v>
      </c>
      <c r="AA924" s="3" t="str">
        <f t="shared" si="102"/>
        <v>Very Good</v>
      </c>
      <c r="AB924" s="3" cm="1">
        <f t="array" ref="AB924">_xlfn.IFS(fin_table[[#This Row],[Transaction Status]]="Failed", 1, fin_table[[#This Row],[Transaction Status]]="Completed",0,fin_table[[#This Row],[Transaction Status]]="Pending",2)</f>
        <v>0</v>
      </c>
      <c r="AC924" s="3" t="str">
        <f>IF(fin_table[[#This Row],[Loan Defaulters]]=1,"Default", "Good")</f>
        <v>Good</v>
      </c>
      <c r="AD924" s="3">
        <f t="shared" si="103"/>
        <v>4</v>
      </c>
      <c r="AE924" s="4">
        <v>4817.8500000000004</v>
      </c>
      <c r="AF924" s="4" t="str">
        <f>IF(fin_table[[#This Row],[Monthly Income]]&lt;3000, "Low Income", IF(fin_table[[#This Row],[Monthly Income]]&lt;=5000, "Middle Income", "High Income"))</f>
        <v>Middle Income</v>
      </c>
      <c r="AG924" t="s">
        <v>45</v>
      </c>
      <c r="AH924" t="s">
        <v>3636</v>
      </c>
      <c r="AI924" t="str">
        <f t="shared" si="104"/>
        <v>Low-Risk</v>
      </c>
    </row>
    <row r="925" spans="1:35" x14ac:dyDescent="0.35">
      <c r="A925" t="s">
        <v>3343</v>
      </c>
      <c r="B925" t="s">
        <v>1303</v>
      </c>
      <c r="C925" t="s">
        <v>3344</v>
      </c>
      <c r="D925" s="1">
        <v>45007</v>
      </c>
      <c r="E925" s="1" t="str">
        <f t="shared" si="98"/>
        <v>22</v>
      </c>
      <c r="F925" s="1" t="str">
        <f t="shared" si="99"/>
        <v>Mar</v>
      </c>
      <c r="G925" s="6" t="s">
        <v>34</v>
      </c>
      <c r="H925" s="5">
        <v>6050.92</v>
      </c>
      <c r="I925" s="5" t="str">
        <f>IF(fin_table[[#This Row],[Account Balance]]&lt;20000,"Active", "Not Active")</f>
        <v>Active</v>
      </c>
      <c r="J925" s="5">
        <v>2471.0500000000002</v>
      </c>
      <c r="K925" s="5" t="str">
        <f t="shared" si="100"/>
        <v>Low</v>
      </c>
      <c r="L925" s="6" t="s">
        <v>35</v>
      </c>
      <c r="M925">
        <v>62</v>
      </c>
      <c r="N925" s="6" t="str">
        <f t="shared" si="101"/>
        <v>Seniors</v>
      </c>
      <c r="O925" s="6" t="s">
        <v>25</v>
      </c>
      <c r="P925" s="6" t="s">
        <v>50</v>
      </c>
      <c r="Q925" t="s">
        <v>2159</v>
      </c>
      <c r="R925" s="6" t="s">
        <v>38</v>
      </c>
      <c r="S925" s="6" t="s">
        <v>44</v>
      </c>
      <c r="T925" s="14">
        <v>1.8700000000000001E-2</v>
      </c>
      <c r="U925">
        <v>1.87</v>
      </c>
      <c r="V925" t="str">
        <f>IF(fin_table[[#This Row],[Interest Rate(%)]]&gt;4,"high","low")</f>
        <v>low</v>
      </c>
      <c r="W925" s="5">
        <v>43729.33</v>
      </c>
      <c r="X925" s="5">
        <f>fin_table[[#This Row],[Interest Rate]]*fin_table[[#This Row],[Loan Amount]]</f>
        <v>817.73847100000012</v>
      </c>
      <c r="Y925">
        <v>13</v>
      </c>
      <c r="Z925" s="3">
        <v>436</v>
      </c>
      <c r="AA925" s="3" t="str">
        <f t="shared" si="102"/>
        <v>Poor</v>
      </c>
      <c r="AB925" s="3" cm="1">
        <f t="array" ref="AB925">_xlfn.IFS(fin_table[[#This Row],[Transaction Status]]="Failed", 1, fin_table[[#This Row],[Transaction Status]]="Completed",0,fin_table[[#This Row],[Transaction Status]]="Pending",2)</f>
        <v>0</v>
      </c>
      <c r="AC925" s="3" t="str">
        <f>IF(fin_table[[#This Row],[Loan Defaulters]]=1,"Default", "Good")</f>
        <v>Good</v>
      </c>
      <c r="AD925" s="3">
        <f t="shared" si="103"/>
        <v>1</v>
      </c>
      <c r="AE925" s="4">
        <v>9611.68</v>
      </c>
      <c r="AF925" s="4" t="str">
        <f>IF(fin_table[[#This Row],[Monthly Income]]&lt;3000, "Low Income", IF(fin_table[[#This Row],[Monthly Income]]&lt;=5000, "Middle Income", "High Income"))</f>
        <v>High Income</v>
      </c>
      <c r="AG925" t="s">
        <v>63</v>
      </c>
      <c r="AH925" t="s">
        <v>3636</v>
      </c>
      <c r="AI925" t="str">
        <f t="shared" si="104"/>
        <v>High-Risk</v>
      </c>
    </row>
    <row r="926" spans="1:35" x14ac:dyDescent="0.35">
      <c r="A926" t="s">
        <v>3345</v>
      </c>
      <c r="B926" t="s">
        <v>3346</v>
      </c>
      <c r="C926" t="s">
        <v>3347</v>
      </c>
      <c r="D926" s="1">
        <v>44906</v>
      </c>
      <c r="E926" s="1" t="str">
        <f t="shared" si="98"/>
        <v>11</v>
      </c>
      <c r="F926" s="1" t="str">
        <f t="shared" si="99"/>
        <v>Dec</v>
      </c>
      <c r="G926" s="6" t="s">
        <v>56</v>
      </c>
      <c r="H926" s="5">
        <v>9904.58</v>
      </c>
      <c r="I926" s="5" t="str">
        <f>IF(fin_table[[#This Row],[Account Balance]]&lt;20000,"Active", "Not Active")</f>
        <v>Not Active</v>
      </c>
      <c r="J926" s="5">
        <v>22781.88</v>
      </c>
      <c r="K926" s="5" t="str">
        <f t="shared" si="100"/>
        <v>Medium</v>
      </c>
      <c r="L926" s="6" t="s">
        <v>24</v>
      </c>
      <c r="M926">
        <v>52</v>
      </c>
      <c r="N926" s="6" t="str">
        <f t="shared" si="101"/>
        <v>Older Adults</v>
      </c>
      <c r="O926" s="6" t="s">
        <v>25</v>
      </c>
      <c r="P926" s="6" t="s">
        <v>26</v>
      </c>
      <c r="Q926" t="s">
        <v>2098</v>
      </c>
      <c r="R926" s="6" t="s">
        <v>52</v>
      </c>
      <c r="S926" s="6" t="s">
        <v>62</v>
      </c>
      <c r="T926" s="14">
        <v>1.9699999999999999E-2</v>
      </c>
      <c r="U926">
        <v>1.97</v>
      </c>
      <c r="V926" t="str">
        <f>IF(fin_table[[#This Row],[Interest Rate(%)]]&gt;4,"high","low")</f>
        <v>low</v>
      </c>
      <c r="W926" s="5">
        <v>26681.654999999999</v>
      </c>
      <c r="X926" s="5">
        <f>fin_table[[#This Row],[Interest Rate]]*fin_table[[#This Row],[Loan Amount]]</f>
        <v>525.62860349999994</v>
      </c>
      <c r="Y926">
        <v>13</v>
      </c>
      <c r="Z926" s="3">
        <v>754</v>
      </c>
      <c r="AA926" s="3" t="str">
        <f t="shared" si="102"/>
        <v>Very Good</v>
      </c>
      <c r="AB926" s="3" cm="1">
        <f t="array" ref="AB926">_xlfn.IFS(fin_table[[#This Row],[Transaction Status]]="Failed", 1, fin_table[[#This Row],[Transaction Status]]="Completed",0,fin_table[[#This Row],[Transaction Status]]="Pending",2)</f>
        <v>2</v>
      </c>
      <c r="AC926" s="3" t="str">
        <f>IF(fin_table[[#This Row],[Loan Defaulters]]=1,"Default", "Good")</f>
        <v>Good</v>
      </c>
      <c r="AD926" s="3">
        <f t="shared" si="103"/>
        <v>4</v>
      </c>
      <c r="AE926" s="4">
        <v>6525.24</v>
      </c>
      <c r="AF926" s="4" t="str">
        <f>IF(fin_table[[#This Row],[Monthly Income]]&lt;3000, "Low Income", IF(fin_table[[#This Row],[Monthly Income]]&lt;=5000, "Middle Income", "High Income"))</f>
        <v>High Income</v>
      </c>
      <c r="AG926" t="s">
        <v>30</v>
      </c>
      <c r="AH926" t="s">
        <v>3635</v>
      </c>
      <c r="AI926" t="str">
        <f t="shared" si="104"/>
        <v>Low-Risk</v>
      </c>
    </row>
    <row r="927" spans="1:35" x14ac:dyDescent="0.35">
      <c r="A927" t="s">
        <v>3348</v>
      </c>
      <c r="B927" t="s">
        <v>3349</v>
      </c>
      <c r="C927" t="s">
        <v>3350</v>
      </c>
      <c r="D927" s="1">
        <v>45033</v>
      </c>
      <c r="E927" s="1" t="str">
        <f t="shared" si="98"/>
        <v>17</v>
      </c>
      <c r="F927" s="1" t="str">
        <f t="shared" si="99"/>
        <v>Apr</v>
      </c>
      <c r="G927" s="6" t="s">
        <v>23</v>
      </c>
      <c r="H927" s="5">
        <v>3320.01</v>
      </c>
      <c r="I927" s="5" t="str">
        <f>IF(fin_table[[#This Row],[Account Balance]]&lt;20000,"Active", "Not Active")</f>
        <v>Not Active</v>
      </c>
      <c r="J927" s="5">
        <v>25726.33</v>
      </c>
      <c r="K927" s="5" t="str">
        <f t="shared" si="100"/>
        <v>Medium</v>
      </c>
      <c r="L927" s="6" t="s">
        <v>49</v>
      </c>
      <c r="M927">
        <v>20</v>
      </c>
      <c r="N927" s="6" t="str">
        <f t="shared" si="101"/>
        <v>Young Adults</v>
      </c>
      <c r="O927" s="6" t="s">
        <v>25</v>
      </c>
      <c r="P927" s="6" t="s">
        <v>26</v>
      </c>
      <c r="Q927" t="s">
        <v>620</v>
      </c>
      <c r="R927" s="6" t="s">
        <v>28</v>
      </c>
      <c r="S927" s="6" t="s">
        <v>62</v>
      </c>
      <c r="T927" s="14">
        <v>3.5700000000000003E-2</v>
      </c>
      <c r="U927">
        <v>3.57</v>
      </c>
      <c r="V927" t="str">
        <f>IF(fin_table[[#This Row],[Interest Rate(%)]]&gt;4,"high","low")</f>
        <v>low</v>
      </c>
      <c r="W927" s="5">
        <v>26681.654999999999</v>
      </c>
      <c r="X927" s="5">
        <f>fin_table[[#This Row],[Interest Rate]]*fin_table[[#This Row],[Loan Amount]]</f>
        <v>952.53508350000004</v>
      </c>
      <c r="Y927">
        <v>19</v>
      </c>
      <c r="Z927" s="3">
        <v>654</v>
      </c>
      <c r="AA927" s="3" t="str">
        <f t="shared" si="102"/>
        <v>Fair</v>
      </c>
      <c r="AB927" s="3" cm="1">
        <f t="array" ref="AB927">_xlfn.IFS(fin_table[[#This Row],[Transaction Status]]="Failed", 1, fin_table[[#This Row],[Transaction Status]]="Completed",0,fin_table[[#This Row],[Transaction Status]]="Pending",2)</f>
        <v>2</v>
      </c>
      <c r="AC927" s="3" t="str">
        <f>IF(fin_table[[#This Row],[Loan Defaulters]]=1,"Default", "Good")</f>
        <v>Good</v>
      </c>
      <c r="AD927" s="3">
        <f t="shared" si="103"/>
        <v>2</v>
      </c>
      <c r="AE927" s="4">
        <v>10546.11</v>
      </c>
      <c r="AF927" s="4" t="str">
        <f>IF(fin_table[[#This Row],[Monthly Income]]&lt;3000, "Low Income", IF(fin_table[[#This Row],[Monthly Income]]&lt;=5000, "Middle Income", "High Income"))</f>
        <v>High Income</v>
      </c>
      <c r="AG927" t="s">
        <v>30</v>
      </c>
      <c r="AH927" t="s">
        <v>3635</v>
      </c>
      <c r="AI927" t="str">
        <f t="shared" si="104"/>
        <v>Low-Risk</v>
      </c>
    </row>
    <row r="928" spans="1:35" x14ac:dyDescent="0.35">
      <c r="A928" t="s">
        <v>3351</v>
      </c>
      <c r="B928" t="s">
        <v>3352</v>
      </c>
      <c r="C928" t="s">
        <v>3353</v>
      </c>
      <c r="D928" s="1">
        <v>44600</v>
      </c>
      <c r="E928" s="1" t="str">
        <f t="shared" si="98"/>
        <v>08</v>
      </c>
      <c r="F928" s="1" t="str">
        <f t="shared" si="99"/>
        <v>Feb</v>
      </c>
      <c r="G928" s="6" t="s">
        <v>23</v>
      </c>
      <c r="H928" s="5">
        <v>9418.6</v>
      </c>
      <c r="I928" s="5" t="str">
        <f>IF(fin_table[[#This Row],[Account Balance]]&lt;20000,"Active", "Not Active")</f>
        <v>Active</v>
      </c>
      <c r="J928" s="5">
        <v>6746.73</v>
      </c>
      <c r="K928" s="5" t="str">
        <f t="shared" si="100"/>
        <v>Low</v>
      </c>
      <c r="L928" s="6" t="s">
        <v>49</v>
      </c>
      <c r="M928">
        <v>22</v>
      </c>
      <c r="N928" s="6" t="str">
        <f t="shared" si="101"/>
        <v>Young Adults</v>
      </c>
      <c r="O928" s="6" t="s">
        <v>25</v>
      </c>
      <c r="P928" s="6" t="s">
        <v>36</v>
      </c>
      <c r="Q928" t="s">
        <v>2199</v>
      </c>
      <c r="R928" s="6" t="s">
        <v>38</v>
      </c>
      <c r="S928" s="6" t="s">
        <v>29</v>
      </c>
      <c r="T928" s="14">
        <v>2.1000000000000001E-2</v>
      </c>
      <c r="U928">
        <v>2.1000000000000001E-2</v>
      </c>
      <c r="V928" t="str">
        <f>IF(fin_table[[#This Row],[Interest Rate(%)]]&gt;4,"high","low")</f>
        <v>low</v>
      </c>
      <c r="W928" s="5">
        <v>26681.654999999999</v>
      </c>
      <c r="X928" s="5">
        <f>fin_table[[#This Row],[Interest Rate]]*fin_table[[#This Row],[Loan Amount]]</f>
        <v>560.31475499999999</v>
      </c>
      <c r="Y928">
        <v>21</v>
      </c>
      <c r="Z928" s="3">
        <v>784</v>
      </c>
      <c r="AA928" s="3" t="str">
        <f t="shared" si="102"/>
        <v>Very Good</v>
      </c>
      <c r="AB928" s="3" cm="1">
        <f t="array" ref="AB928">_xlfn.IFS(fin_table[[#This Row],[Transaction Status]]="Failed", 1, fin_table[[#This Row],[Transaction Status]]="Completed",0,fin_table[[#This Row],[Transaction Status]]="Pending",2)</f>
        <v>1</v>
      </c>
      <c r="AC928" s="3" t="str">
        <f>IF(fin_table[[#This Row],[Loan Defaulters]]=1,"Default", "Good")</f>
        <v>Default</v>
      </c>
      <c r="AD928" s="3">
        <f t="shared" si="103"/>
        <v>4</v>
      </c>
      <c r="AE928" s="4">
        <v>2203.42</v>
      </c>
      <c r="AF928" s="4" t="str">
        <f>IF(fin_table[[#This Row],[Monthly Income]]&lt;3000, "Low Income", IF(fin_table[[#This Row],[Monthly Income]]&lt;=5000, "Middle Income", "High Income"))</f>
        <v>Low Income</v>
      </c>
      <c r="AG928" t="s">
        <v>63</v>
      </c>
      <c r="AH928" t="s">
        <v>3635</v>
      </c>
      <c r="AI928" t="str">
        <f t="shared" si="104"/>
        <v>Low-Risk</v>
      </c>
    </row>
    <row r="929" spans="1:35" x14ac:dyDescent="0.35">
      <c r="A929" t="s">
        <v>3354</v>
      </c>
      <c r="B929" t="s">
        <v>3355</v>
      </c>
      <c r="C929" t="s">
        <v>3356</v>
      </c>
      <c r="D929" s="1">
        <v>45113</v>
      </c>
      <c r="E929" s="1" t="str">
        <f t="shared" si="98"/>
        <v>06</v>
      </c>
      <c r="F929" s="1" t="str">
        <f t="shared" si="99"/>
        <v>Jul</v>
      </c>
      <c r="G929" s="6" t="s">
        <v>71</v>
      </c>
      <c r="H929" s="5">
        <v>9155.84</v>
      </c>
      <c r="I929" s="5" t="str">
        <f>IF(fin_table[[#This Row],[Account Balance]]&lt;20000,"Active", "Not Active")</f>
        <v>Active</v>
      </c>
      <c r="J929" s="5">
        <v>9284.0300000000007</v>
      </c>
      <c r="K929" s="5" t="str">
        <f t="shared" si="100"/>
        <v>Low</v>
      </c>
      <c r="L929" s="6" t="s">
        <v>49</v>
      </c>
      <c r="M929">
        <v>43</v>
      </c>
      <c r="N929" s="6" t="str">
        <f t="shared" si="101"/>
        <v>Middle-Aged</v>
      </c>
      <c r="O929" s="6" t="s">
        <v>25</v>
      </c>
      <c r="P929" s="6" t="s">
        <v>26</v>
      </c>
      <c r="Q929" t="s">
        <v>1029</v>
      </c>
      <c r="R929" s="6" t="s">
        <v>28</v>
      </c>
      <c r="S929" s="6" t="s">
        <v>29</v>
      </c>
      <c r="T929" s="14">
        <v>1.8700000000000001E-2</v>
      </c>
      <c r="U929">
        <v>1.87</v>
      </c>
      <c r="V929" t="str">
        <f>IF(fin_table[[#This Row],[Interest Rate(%)]]&gt;4,"high","low")</f>
        <v>low</v>
      </c>
      <c r="W929" s="5">
        <v>26681.654999999999</v>
      </c>
      <c r="X929" s="5">
        <f>fin_table[[#This Row],[Interest Rate]]*fin_table[[#This Row],[Loan Amount]]</f>
        <v>498.94694850000002</v>
      </c>
      <c r="Y929">
        <v>10</v>
      </c>
      <c r="Z929" s="3">
        <v>445</v>
      </c>
      <c r="AA929" s="3" t="str">
        <f t="shared" si="102"/>
        <v>Poor</v>
      </c>
      <c r="AB929" s="3" cm="1">
        <f t="array" ref="AB929">_xlfn.IFS(fin_table[[#This Row],[Transaction Status]]="Failed", 1, fin_table[[#This Row],[Transaction Status]]="Completed",0,fin_table[[#This Row],[Transaction Status]]="Pending",2)</f>
        <v>1</v>
      </c>
      <c r="AC929" s="3" t="str">
        <f>IF(fin_table[[#This Row],[Loan Defaulters]]=1,"Default", "Good")</f>
        <v>Default</v>
      </c>
      <c r="AD929" s="3">
        <f t="shared" si="103"/>
        <v>1</v>
      </c>
      <c r="AE929" s="4">
        <v>2836.87</v>
      </c>
      <c r="AF929" s="4" t="str">
        <f>IF(fin_table[[#This Row],[Monthly Income]]&lt;3000, "Low Income", IF(fin_table[[#This Row],[Monthly Income]]&lt;=5000, "Middle Income", "High Income"))</f>
        <v>Low Income</v>
      </c>
      <c r="AG929" t="s">
        <v>63</v>
      </c>
      <c r="AH929" t="s">
        <v>3635</v>
      </c>
      <c r="AI929" t="str">
        <f t="shared" si="104"/>
        <v>Low-Risk</v>
      </c>
    </row>
    <row r="930" spans="1:35" x14ac:dyDescent="0.35">
      <c r="A930" t="s">
        <v>3357</v>
      </c>
      <c r="B930" t="s">
        <v>1601</v>
      </c>
      <c r="C930" t="s">
        <v>3358</v>
      </c>
      <c r="D930" s="1">
        <v>45047</v>
      </c>
      <c r="E930" s="1" t="str">
        <f t="shared" si="98"/>
        <v>01</v>
      </c>
      <c r="F930" s="1" t="str">
        <f t="shared" si="99"/>
        <v>May</v>
      </c>
      <c r="G930" s="6" t="s">
        <v>56</v>
      </c>
      <c r="H930" s="5">
        <v>213.66</v>
      </c>
      <c r="I930" s="5" t="str">
        <f>IF(fin_table[[#This Row],[Account Balance]]&lt;20000,"Active", "Not Active")</f>
        <v>Active</v>
      </c>
      <c r="J930" s="5">
        <v>18238.45</v>
      </c>
      <c r="K930" s="5" t="str">
        <f t="shared" si="100"/>
        <v>Medium</v>
      </c>
      <c r="L930" s="6" t="s">
        <v>24</v>
      </c>
      <c r="M930">
        <v>28</v>
      </c>
      <c r="N930" s="6" t="str">
        <f t="shared" si="101"/>
        <v>Adults</v>
      </c>
      <c r="O930" s="6" t="s">
        <v>25</v>
      </c>
      <c r="P930" s="6" t="s">
        <v>36</v>
      </c>
      <c r="Q930" t="s">
        <v>3359</v>
      </c>
      <c r="R930" s="6" t="s">
        <v>52</v>
      </c>
      <c r="S930" s="6" t="s">
        <v>62</v>
      </c>
      <c r="T930" s="14">
        <v>2.0199999999999999E-2</v>
      </c>
      <c r="U930">
        <v>2.02</v>
      </c>
      <c r="V930" t="str">
        <f>IF(fin_table[[#This Row],[Interest Rate(%)]]&gt;4,"high","low")</f>
        <v>low</v>
      </c>
      <c r="W930" s="5">
        <v>26681.654999999999</v>
      </c>
      <c r="X930" s="5">
        <f>fin_table[[#This Row],[Interest Rate]]*fin_table[[#This Row],[Loan Amount]]</f>
        <v>538.96943099999999</v>
      </c>
      <c r="Y930">
        <v>1</v>
      </c>
      <c r="Z930" s="3">
        <v>332</v>
      </c>
      <c r="AA930" s="3" t="str">
        <f t="shared" si="102"/>
        <v>Poor</v>
      </c>
      <c r="AB930" s="3" cm="1">
        <f t="array" ref="AB930">_xlfn.IFS(fin_table[[#This Row],[Transaction Status]]="Failed", 1, fin_table[[#This Row],[Transaction Status]]="Completed",0,fin_table[[#This Row],[Transaction Status]]="Pending",2)</f>
        <v>2</v>
      </c>
      <c r="AC930" s="3" t="str">
        <f>IF(fin_table[[#This Row],[Loan Defaulters]]=1,"Default", "Good")</f>
        <v>Good</v>
      </c>
      <c r="AD930" s="3">
        <f t="shared" si="103"/>
        <v>1</v>
      </c>
      <c r="AE930" s="4">
        <v>3295.59</v>
      </c>
      <c r="AF930" s="4" t="str">
        <f>IF(fin_table[[#This Row],[Monthly Income]]&lt;3000, "Low Income", IF(fin_table[[#This Row],[Monthly Income]]&lt;=5000, "Middle Income", "High Income"))</f>
        <v>Middle Income</v>
      </c>
      <c r="AG930" t="s">
        <v>63</v>
      </c>
      <c r="AH930" t="s">
        <v>3635</v>
      </c>
      <c r="AI930" t="str">
        <f t="shared" si="104"/>
        <v>Low-Risk</v>
      </c>
    </row>
    <row r="931" spans="1:35" x14ac:dyDescent="0.35">
      <c r="A931" t="s">
        <v>3360</v>
      </c>
      <c r="B931" t="s">
        <v>3361</v>
      </c>
      <c r="C931" t="s">
        <v>3362</v>
      </c>
      <c r="D931" s="1">
        <v>44893</v>
      </c>
      <c r="E931" s="1" t="str">
        <f t="shared" si="98"/>
        <v>28</v>
      </c>
      <c r="F931" s="1" t="str">
        <f t="shared" si="99"/>
        <v>Nov</v>
      </c>
      <c r="G931" s="6" t="s">
        <v>34</v>
      </c>
      <c r="H931" s="5">
        <v>4556.1499999999996</v>
      </c>
      <c r="I931" s="5" t="str">
        <f>IF(fin_table[[#This Row],[Account Balance]]&lt;20000,"Active", "Not Active")</f>
        <v>Not Active</v>
      </c>
      <c r="J931" s="5">
        <v>38322.120000000003</v>
      </c>
      <c r="K931" s="5" t="str">
        <f t="shared" si="100"/>
        <v>Medium</v>
      </c>
      <c r="L931" s="6" t="s">
        <v>35</v>
      </c>
      <c r="M931">
        <v>24</v>
      </c>
      <c r="N931" s="6" t="str">
        <f t="shared" si="101"/>
        <v>Young Adults</v>
      </c>
      <c r="O931" s="6" t="s">
        <v>42</v>
      </c>
      <c r="P931" s="6" t="s">
        <v>26</v>
      </c>
      <c r="Q931" t="s">
        <v>3026</v>
      </c>
      <c r="R931" s="6" t="s">
        <v>28</v>
      </c>
      <c r="S931" s="6" t="s">
        <v>29</v>
      </c>
      <c r="T931" s="14">
        <v>2.9600000000000001E-2</v>
      </c>
      <c r="U931">
        <v>2.96</v>
      </c>
      <c r="V931" t="str">
        <f>IF(fin_table[[#This Row],[Interest Rate(%)]]&gt;4,"high","low")</f>
        <v>low</v>
      </c>
      <c r="W931" s="5">
        <v>7273.41</v>
      </c>
      <c r="X931" s="5">
        <f>fin_table[[#This Row],[Interest Rate]]*fin_table[[#This Row],[Loan Amount]]</f>
        <v>215.292936</v>
      </c>
      <c r="Y931">
        <v>13</v>
      </c>
      <c r="Z931" s="3">
        <v>559</v>
      </c>
      <c r="AA931" s="3" t="str">
        <f t="shared" si="102"/>
        <v>Poor</v>
      </c>
      <c r="AB931" s="3" cm="1">
        <f t="array" ref="AB931">_xlfn.IFS(fin_table[[#This Row],[Transaction Status]]="Failed", 1, fin_table[[#This Row],[Transaction Status]]="Completed",0,fin_table[[#This Row],[Transaction Status]]="Pending",2)</f>
        <v>1</v>
      </c>
      <c r="AC931" s="3" t="str">
        <f>IF(fin_table[[#This Row],[Loan Defaulters]]=1,"Default", "Good")</f>
        <v>Default</v>
      </c>
      <c r="AD931" s="3">
        <f t="shared" si="103"/>
        <v>1</v>
      </c>
      <c r="AE931" s="4">
        <v>7446.92</v>
      </c>
      <c r="AF931" s="4" t="str">
        <f>IF(fin_table[[#This Row],[Monthly Income]]&lt;3000, "Low Income", IF(fin_table[[#This Row],[Monthly Income]]&lt;=5000, "Middle Income", "High Income"))</f>
        <v>High Income</v>
      </c>
      <c r="AG931" t="s">
        <v>30</v>
      </c>
      <c r="AH931" t="s">
        <v>3636</v>
      </c>
      <c r="AI931" t="str">
        <f t="shared" si="104"/>
        <v>Low-Risk</v>
      </c>
    </row>
    <row r="932" spans="1:35" x14ac:dyDescent="0.35">
      <c r="A932" t="s">
        <v>3363</v>
      </c>
      <c r="B932" t="s">
        <v>3364</v>
      </c>
      <c r="C932" t="s">
        <v>3365</v>
      </c>
      <c r="D932" s="1">
        <v>44614</v>
      </c>
      <c r="E932" s="1" t="str">
        <f t="shared" si="98"/>
        <v>22</v>
      </c>
      <c r="F932" s="1" t="str">
        <f t="shared" si="99"/>
        <v>Feb</v>
      </c>
      <c r="G932" s="6" t="s">
        <v>23</v>
      </c>
      <c r="H932" s="5">
        <v>9773.33</v>
      </c>
      <c r="I932" s="5" t="str">
        <f>IF(fin_table[[#This Row],[Account Balance]]&lt;20000,"Active", "Not Active")</f>
        <v>Not Active</v>
      </c>
      <c r="J932" s="5">
        <v>25847.040000000001</v>
      </c>
      <c r="K932" s="5" t="str">
        <f t="shared" si="100"/>
        <v>Medium</v>
      </c>
      <c r="L932" s="6" t="s">
        <v>24</v>
      </c>
      <c r="M932">
        <v>27</v>
      </c>
      <c r="N932" s="6" t="str">
        <f t="shared" si="101"/>
        <v>Adults</v>
      </c>
      <c r="O932" s="6" t="s">
        <v>42</v>
      </c>
      <c r="P932" s="6" t="s">
        <v>26</v>
      </c>
      <c r="Q932" t="s">
        <v>3366</v>
      </c>
      <c r="R932" s="6" t="s">
        <v>28</v>
      </c>
      <c r="S932" s="6" t="s">
        <v>62</v>
      </c>
      <c r="T932" s="14">
        <v>4.8599999999999997E-2</v>
      </c>
      <c r="U932">
        <v>4.8600000000000003</v>
      </c>
      <c r="V932" t="str">
        <f>IF(fin_table[[#This Row],[Interest Rate(%)]]&gt;4,"high","low")</f>
        <v>high</v>
      </c>
      <c r="W932" s="5">
        <v>26681.654999999999</v>
      </c>
      <c r="X932" s="5">
        <f>fin_table[[#This Row],[Interest Rate]]*fin_table[[#This Row],[Loan Amount]]</f>
        <v>1296.7284329999998</v>
      </c>
      <c r="Y932">
        <v>22</v>
      </c>
      <c r="Z932" s="3">
        <v>386</v>
      </c>
      <c r="AA932" s="3" t="str">
        <f t="shared" si="102"/>
        <v>Poor</v>
      </c>
      <c r="AB932" s="3" cm="1">
        <f t="array" ref="AB932">_xlfn.IFS(fin_table[[#This Row],[Transaction Status]]="Failed", 1, fin_table[[#This Row],[Transaction Status]]="Completed",0,fin_table[[#This Row],[Transaction Status]]="Pending",2)</f>
        <v>2</v>
      </c>
      <c r="AC932" s="3" t="str">
        <f>IF(fin_table[[#This Row],[Loan Defaulters]]=1,"Default", "Good")</f>
        <v>Good</v>
      </c>
      <c r="AD932" s="3">
        <f t="shared" si="103"/>
        <v>1</v>
      </c>
      <c r="AE932" s="4">
        <v>12592.35</v>
      </c>
      <c r="AF932" s="4" t="str">
        <f>IF(fin_table[[#This Row],[Monthly Income]]&lt;3000, "Low Income", IF(fin_table[[#This Row],[Monthly Income]]&lt;=5000, "Middle Income", "High Income"))</f>
        <v>High Income</v>
      </c>
      <c r="AG932" t="s">
        <v>63</v>
      </c>
      <c r="AH932" t="s">
        <v>3635</v>
      </c>
      <c r="AI932" t="str">
        <f t="shared" si="104"/>
        <v>Low-Risk</v>
      </c>
    </row>
    <row r="933" spans="1:35" x14ac:dyDescent="0.35">
      <c r="A933" t="s">
        <v>3367</v>
      </c>
      <c r="B933" t="s">
        <v>3368</v>
      </c>
      <c r="C933" t="s">
        <v>3369</v>
      </c>
      <c r="D933" s="1">
        <v>45102</v>
      </c>
      <c r="E933" s="1" t="str">
        <f t="shared" si="98"/>
        <v>25</v>
      </c>
      <c r="F933" s="1" t="str">
        <f t="shared" si="99"/>
        <v>Jun</v>
      </c>
      <c r="G933" s="6" t="s">
        <v>23</v>
      </c>
      <c r="H933" s="5">
        <v>1120.9000000000001</v>
      </c>
      <c r="I933" s="5" t="str">
        <f>IF(fin_table[[#This Row],[Account Balance]]&lt;20000,"Active", "Not Active")</f>
        <v>Not Active</v>
      </c>
      <c r="J933" s="5">
        <v>32257.19</v>
      </c>
      <c r="K933" s="5" t="str">
        <f t="shared" si="100"/>
        <v>Medium</v>
      </c>
      <c r="L933" s="6" t="s">
        <v>100</v>
      </c>
      <c r="M933">
        <v>59</v>
      </c>
      <c r="N933" s="6" t="str">
        <f t="shared" si="101"/>
        <v>Older Adults</v>
      </c>
      <c r="O933" s="6" t="s">
        <v>25</v>
      </c>
      <c r="P933" s="6" t="s">
        <v>26</v>
      </c>
      <c r="Q933" t="s">
        <v>2386</v>
      </c>
      <c r="R933" s="6" t="s">
        <v>52</v>
      </c>
      <c r="S933" s="6" t="s">
        <v>29</v>
      </c>
      <c r="T933" s="14">
        <v>4.3299999999999998E-2</v>
      </c>
      <c r="U933">
        <v>4.33</v>
      </c>
      <c r="V933" t="str">
        <f>IF(fin_table[[#This Row],[Interest Rate(%)]]&gt;4,"high","low")</f>
        <v>high</v>
      </c>
      <c r="W933" s="5">
        <v>26681.654999999999</v>
      </c>
      <c r="X933" s="5">
        <f>fin_table[[#This Row],[Interest Rate]]*fin_table[[#This Row],[Loan Amount]]</f>
        <v>1155.3156614999998</v>
      </c>
      <c r="Y933">
        <v>15</v>
      </c>
      <c r="Z933" s="3">
        <v>564</v>
      </c>
      <c r="AA933" s="3" t="str">
        <f t="shared" si="102"/>
        <v>Poor</v>
      </c>
      <c r="AB933" s="3" cm="1">
        <f t="array" ref="AB933">_xlfn.IFS(fin_table[[#This Row],[Transaction Status]]="Failed", 1, fin_table[[#This Row],[Transaction Status]]="Completed",0,fin_table[[#This Row],[Transaction Status]]="Pending",2)</f>
        <v>1</v>
      </c>
      <c r="AC933" s="3" t="str">
        <f>IF(fin_table[[#This Row],[Loan Defaulters]]=1,"Default", "Good")</f>
        <v>Default</v>
      </c>
      <c r="AD933" s="3">
        <f t="shared" si="103"/>
        <v>1</v>
      </c>
      <c r="AE933" s="4">
        <v>13546.31</v>
      </c>
      <c r="AF933" s="4" t="str">
        <f>IF(fin_table[[#This Row],[Monthly Income]]&lt;3000, "Low Income", IF(fin_table[[#This Row],[Monthly Income]]&lt;=5000, "Middle Income", "High Income"))</f>
        <v>High Income</v>
      </c>
      <c r="AG933" t="s">
        <v>30</v>
      </c>
      <c r="AH933" t="s">
        <v>3635</v>
      </c>
      <c r="AI933" t="str">
        <f t="shared" si="104"/>
        <v>Low-Risk</v>
      </c>
    </row>
    <row r="934" spans="1:35" x14ac:dyDescent="0.35">
      <c r="A934" t="s">
        <v>3370</v>
      </c>
      <c r="B934" t="s">
        <v>3371</v>
      </c>
      <c r="C934" t="s">
        <v>3372</v>
      </c>
      <c r="D934" s="1">
        <v>44562</v>
      </c>
      <c r="E934" s="1" t="str">
        <f t="shared" si="98"/>
        <v>01</v>
      </c>
      <c r="F934" s="1" t="str">
        <f t="shared" si="99"/>
        <v>Jan</v>
      </c>
      <c r="G934" s="6" t="s">
        <v>34</v>
      </c>
      <c r="H934" s="5">
        <v>5523.07</v>
      </c>
      <c r="I934" s="5" t="str">
        <f>IF(fin_table[[#This Row],[Account Balance]]&lt;20000,"Active", "Not Active")</f>
        <v>Not Active</v>
      </c>
      <c r="J934" s="5">
        <v>49273.55</v>
      </c>
      <c r="K934" s="5" t="str">
        <f t="shared" si="100"/>
        <v>Medium</v>
      </c>
      <c r="L934" s="6" t="s">
        <v>100</v>
      </c>
      <c r="M934">
        <v>69</v>
      </c>
      <c r="N934" s="6" t="str">
        <f t="shared" si="101"/>
        <v>Seniors</v>
      </c>
      <c r="O934" s="6" t="s">
        <v>25</v>
      </c>
      <c r="P934" s="6" t="s">
        <v>50</v>
      </c>
      <c r="Q934" t="s">
        <v>1512</v>
      </c>
      <c r="R934" s="6" t="s">
        <v>28</v>
      </c>
      <c r="S934" s="6" t="s">
        <v>44</v>
      </c>
      <c r="T934" s="14">
        <v>2.1399999999999999E-2</v>
      </c>
      <c r="U934">
        <v>2.14</v>
      </c>
      <c r="V934" t="str">
        <f>IF(fin_table[[#This Row],[Interest Rate(%)]]&gt;4,"high","low")</f>
        <v>low</v>
      </c>
      <c r="W934" s="5">
        <v>26681.654999999999</v>
      </c>
      <c r="X934" s="5">
        <f>fin_table[[#This Row],[Interest Rate]]*fin_table[[#This Row],[Loan Amount]]</f>
        <v>570.98741699999994</v>
      </c>
      <c r="Y934">
        <v>13</v>
      </c>
      <c r="Z934" s="3">
        <v>841</v>
      </c>
      <c r="AA934" s="3" t="str">
        <f t="shared" si="102"/>
        <v>Excellent</v>
      </c>
      <c r="AB934" s="3" cm="1">
        <f t="array" ref="AB934">_xlfn.IFS(fin_table[[#This Row],[Transaction Status]]="Failed", 1, fin_table[[#This Row],[Transaction Status]]="Completed",0,fin_table[[#This Row],[Transaction Status]]="Pending",2)</f>
        <v>0</v>
      </c>
      <c r="AC934" s="3" t="str">
        <f>IF(fin_table[[#This Row],[Loan Defaulters]]=1,"Default", "Good")</f>
        <v>Good</v>
      </c>
      <c r="AD934" s="3">
        <f t="shared" si="103"/>
        <v>5</v>
      </c>
      <c r="AE934" s="4">
        <v>5182.54</v>
      </c>
      <c r="AF934" s="4" t="str">
        <f>IF(fin_table[[#This Row],[Monthly Income]]&lt;3000, "Low Income", IF(fin_table[[#This Row],[Monthly Income]]&lt;=5000, "Middle Income", "High Income"))</f>
        <v>High Income</v>
      </c>
      <c r="AG934" t="s">
        <v>45</v>
      </c>
      <c r="AH934" t="s">
        <v>3635</v>
      </c>
      <c r="AI934" t="str">
        <f t="shared" si="104"/>
        <v>Low-Risk</v>
      </c>
    </row>
    <row r="935" spans="1:35" x14ac:dyDescent="0.35">
      <c r="A935" t="s">
        <v>3373</v>
      </c>
      <c r="B935" t="s">
        <v>3374</v>
      </c>
      <c r="C935" t="s">
        <v>3375</v>
      </c>
      <c r="D935" s="1">
        <v>44809</v>
      </c>
      <c r="E935" s="1" t="str">
        <f t="shared" si="98"/>
        <v>05</v>
      </c>
      <c r="F935" s="1" t="str">
        <f t="shared" si="99"/>
        <v>Sep</v>
      </c>
      <c r="G935" s="6" t="s">
        <v>56</v>
      </c>
      <c r="H935" s="5">
        <v>9791.68</v>
      </c>
      <c r="I935" s="5" t="str">
        <f>IF(fin_table[[#This Row],[Account Balance]]&lt;20000,"Active", "Not Active")</f>
        <v>Not Active</v>
      </c>
      <c r="J935" s="5">
        <v>38632.269999999997</v>
      </c>
      <c r="K935" s="5" t="str">
        <f t="shared" si="100"/>
        <v>Medium</v>
      </c>
      <c r="L935" s="6" t="s">
        <v>49</v>
      </c>
      <c r="M935">
        <v>51</v>
      </c>
      <c r="N935" s="6" t="str">
        <f t="shared" si="101"/>
        <v>Older Adults</v>
      </c>
      <c r="O935" s="6" t="s">
        <v>25</v>
      </c>
      <c r="P935" s="6" t="s">
        <v>36</v>
      </c>
      <c r="Q935" t="s">
        <v>1807</v>
      </c>
      <c r="R935" s="6" t="s">
        <v>28</v>
      </c>
      <c r="S935" s="6" t="s">
        <v>29</v>
      </c>
      <c r="T935" s="14">
        <v>2.4500000000000001E-2</v>
      </c>
      <c r="U935">
        <v>2.4500000000000002</v>
      </c>
      <c r="V935" t="str">
        <f>IF(fin_table[[#This Row],[Interest Rate(%)]]&gt;4,"high","low")</f>
        <v>low</v>
      </c>
      <c r="W935" s="5">
        <v>26681.654999999999</v>
      </c>
      <c r="X935" s="5">
        <f>fin_table[[#This Row],[Interest Rate]]*fin_table[[#This Row],[Loan Amount]]</f>
        <v>653.70054749999997</v>
      </c>
      <c r="Y935">
        <v>13</v>
      </c>
      <c r="Z935" s="3">
        <v>691</v>
      </c>
      <c r="AA935" s="3" t="str">
        <f t="shared" si="102"/>
        <v>Good</v>
      </c>
      <c r="AB935" s="3" cm="1">
        <f t="array" ref="AB935">_xlfn.IFS(fin_table[[#This Row],[Transaction Status]]="Failed", 1, fin_table[[#This Row],[Transaction Status]]="Completed",0,fin_table[[#This Row],[Transaction Status]]="Pending",2)</f>
        <v>1</v>
      </c>
      <c r="AC935" s="3" t="str">
        <f>IF(fin_table[[#This Row],[Loan Defaulters]]=1,"Default", "Good")</f>
        <v>Default</v>
      </c>
      <c r="AD935" s="3">
        <f t="shared" si="103"/>
        <v>3</v>
      </c>
      <c r="AE935" s="4">
        <v>9466.81</v>
      </c>
      <c r="AF935" s="4" t="str">
        <f>IF(fin_table[[#This Row],[Monthly Income]]&lt;3000, "Low Income", IF(fin_table[[#This Row],[Monthly Income]]&lt;=5000, "Middle Income", "High Income"))</f>
        <v>High Income</v>
      </c>
      <c r="AG935" t="s">
        <v>30</v>
      </c>
      <c r="AH935" t="s">
        <v>3635</v>
      </c>
      <c r="AI935" t="str">
        <f t="shared" si="104"/>
        <v>Low-Risk</v>
      </c>
    </row>
    <row r="936" spans="1:35" x14ac:dyDescent="0.35">
      <c r="A936" t="s">
        <v>3376</v>
      </c>
      <c r="B936" t="s">
        <v>2037</v>
      </c>
      <c r="C936" t="s">
        <v>3377</v>
      </c>
      <c r="D936" s="1">
        <v>44968</v>
      </c>
      <c r="E936" s="1" t="str">
        <f t="shared" si="98"/>
        <v>11</v>
      </c>
      <c r="F936" s="1" t="str">
        <f t="shared" si="99"/>
        <v>Feb</v>
      </c>
      <c r="G936" s="6" t="s">
        <v>71</v>
      </c>
      <c r="H936" s="5">
        <v>5599.4</v>
      </c>
      <c r="I936" s="5" t="str">
        <f>IF(fin_table[[#This Row],[Account Balance]]&lt;20000,"Active", "Not Active")</f>
        <v>Not Active</v>
      </c>
      <c r="J936" s="5">
        <v>22283.71</v>
      </c>
      <c r="K936" s="5" t="str">
        <f t="shared" si="100"/>
        <v>Medium</v>
      </c>
      <c r="L936" s="6" t="s">
        <v>125</v>
      </c>
      <c r="M936">
        <v>20</v>
      </c>
      <c r="N936" s="6" t="str">
        <f t="shared" si="101"/>
        <v>Young Adults</v>
      </c>
      <c r="O936" s="6" t="s">
        <v>25</v>
      </c>
      <c r="P936" s="6" t="s">
        <v>50</v>
      </c>
      <c r="Q936" t="s">
        <v>3378</v>
      </c>
      <c r="R936" s="6" t="s">
        <v>28</v>
      </c>
      <c r="S936" s="6" t="s">
        <v>44</v>
      </c>
      <c r="T936" s="14">
        <v>2.86E-2</v>
      </c>
      <c r="U936">
        <v>2.86</v>
      </c>
      <c r="V936" t="str">
        <f>IF(fin_table[[#This Row],[Interest Rate(%)]]&gt;4,"high","low")</f>
        <v>low</v>
      </c>
      <c r="W936" s="5">
        <v>42910.6</v>
      </c>
      <c r="X936" s="5">
        <f>fin_table[[#This Row],[Interest Rate]]*fin_table[[#This Row],[Loan Amount]]</f>
        <v>1227.24316</v>
      </c>
      <c r="Y936">
        <v>13</v>
      </c>
      <c r="Z936" s="3">
        <v>531</v>
      </c>
      <c r="AA936" s="3" t="str">
        <f t="shared" si="102"/>
        <v>Poor</v>
      </c>
      <c r="AB936" s="3" cm="1">
        <f t="array" ref="AB936">_xlfn.IFS(fin_table[[#This Row],[Transaction Status]]="Failed", 1, fin_table[[#This Row],[Transaction Status]]="Completed",0,fin_table[[#This Row],[Transaction Status]]="Pending",2)</f>
        <v>0</v>
      </c>
      <c r="AC936" s="3" t="str">
        <f>IF(fin_table[[#This Row],[Loan Defaulters]]=1,"Default", "Good")</f>
        <v>Good</v>
      </c>
      <c r="AD936" s="3">
        <f t="shared" si="103"/>
        <v>1</v>
      </c>
      <c r="AE936" s="4">
        <v>11988.74</v>
      </c>
      <c r="AF936" s="4" t="str">
        <f>IF(fin_table[[#This Row],[Monthly Income]]&lt;3000, "Low Income", IF(fin_table[[#This Row],[Monthly Income]]&lt;=5000, "Middle Income", "High Income"))</f>
        <v>High Income</v>
      </c>
      <c r="AG936" t="s">
        <v>45</v>
      </c>
      <c r="AH936" t="s">
        <v>3636</v>
      </c>
      <c r="AI936" t="str">
        <f t="shared" si="104"/>
        <v>High-Risk</v>
      </c>
    </row>
    <row r="937" spans="1:35" x14ac:dyDescent="0.35">
      <c r="A937" t="s">
        <v>3379</v>
      </c>
      <c r="B937" t="s">
        <v>3380</v>
      </c>
      <c r="C937" t="s">
        <v>3381</v>
      </c>
      <c r="D937" s="1">
        <v>45118</v>
      </c>
      <c r="E937" s="1" t="str">
        <f t="shared" si="98"/>
        <v>11</v>
      </c>
      <c r="F937" s="1" t="str">
        <f t="shared" si="99"/>
        <v>Jul</v>
      </c>
      <c r="G937" s="6" t="s">
        <v>71</v>
      </c>
      <c r="H937" s="5">
        <v>1979.17</v>
      </c>
      <c r="I937" s="5" t="str">
        <f>IF(fin_table[[#This Row],[Account Balance]]&lt;20000,"Active", "Not Active")</f>
        <v>Not Active</v>
      </c>
      <c r="J937" s="5">
        <v>22875.65</v>
      </c>
      <c r="K937" s="5" t="str">
        <f t="shared" si="100"/>
        <v>Medium</v>
      </c>
      <c r="L937" s="6" t="s">
        <v>49</v>
      </c>
      <c r="M937">
        <v>25</v>
      </c>
      <c r="N937" s="6" t="str">
        <f t="shared" si="101"/>
        <v>Young Adults</v>
      </c>
      <c r="O937" s="6" t="s">
        <v>42</v>
      </c>
      <c r="P937" s="6" t="s">
        <v>26</v>
      </c>
      <c r="Q937" t="s">
        <v>2003</v>
      </c>
      <c r="R937" s="6" t="s">
        <v>38</v>
      </c>
      <c r="S937" s="6" t="s">
        <v>44</v>
      </c>
      <c r="T937" s="14">
        <v>4.9200000000000001E-2</v>
      </c>
      <c r="U937">
        <v>4.92</v>
      </c>
      <c r="V937" t="str">
        <f>IF(fin_table[[#This Row],[Interest Rate(%)]]&gt;4,"high","low")</f>
        <v>high</v>
      </c>
      <c r="W937" s="5">
        <v>25967.48</v>
      </c>
      <c r="X937" s="5">
        <f>fin_table[[#This Row],[Interest Rate]]*fin_table[[#This Row],[Loan Amount]]</f>
        <v>1277.6000160000001</v>
      </c>
      <c r="Y937">
        <v>22</v>
      </c>
      <c r="Z937" s="3">
        <v>746</v>
      </c>
      <c r="AA937" s="3" t="str">
        <f t="shared" si="102"/>
        <v>Very Good</v>
      </c>
      <c r="AB937" s="3" cm="1">
        <f t="array" ref="AB937">_xlfn.IFS(fin_table[[#This Row],[Transaction Status]]="Failed", 1, fin_table[[#This Row],[Transaction Status]]="Completed",0,fin_table[[#This Row],[Transaction Status]]="Pending",2)</f>
        <v>0</v>
      </c>
      <c r="AC937" s="3" t="str">
        <f>IF(fin_table[[#This Row],[Loan Defaulters]]=1,"Default", "Good")</f>
        <v>Good</v>
      </c>
      <c r="AD937" s="3">
        <f t="shared" si="103"/>
        <v>4</v>
      </c>
      <c r="AE937" s="4">
        <v>5754.78</v>
      </c>
      <c r="AF937" s="4" t="str">
        <f>IF(fin_table[[#This Row],[Monthly Income]]&lt;3000, "Low Income", IF(fin_table[[#This Row],[Monthly Income]]&lt;=5000, "Middle Income", "High Income"))</f>
        <v>High Income</v>
      </c>
      <c r="AG937" t="s">
        <v>30</v>
      </c>
      <c r="AH937" t="s">
        <v>3636</v>
      </c>
      <c r="AI937" t="str">
        <f t="shared" si="104"/>
        <v>Low-Risk</v>
      </c>
    </row>
    <row r="938" spans="1:35" x14ac:dyDescent="0.35">
      <c r="A938" t="s">
        <v>3382</v>
      </c>
      <c r="B938" t="s">
        <v>3383</v>
      </c>
      <c r="C938" t="s">
        <v>3384</v>
      </c>
      <c r="D938" s="1">
        <v>44596</v>
      </c>
      <c r="E938" s="1" t="str">
        <f t="shared" si="98"/>
        <v>04</v>
      </c>
      <c r="F938" s="1" t="str">
        <f t="shared" si="99"/>
        <v>Feb</v>
      </c>
      <c r="G938" s="6" t="s">
        <v>23</v>
      </c>
      <c r="H938" s="5">
        <v>5863.61</v>
      </c>
      <c r="I938" s="5" t="str">
        <f>IF(fin_table[[#This Row],[Account Balance]]&lt;20000,"Active", "Not Active")</f>
        <v>Not Active</v>
      </c>
      <c r="J938" s="5">
        <v>31319.83</v>
      </c>
      <c r="K938" s="5" t="str">
        <f t="shared" si="100"/>
        <v>Medium</v>
      </c>
      <c r="L938" s="6" t="s">
        <v>125</v>
      </c>
      <c r="M938">
        <v>48</v>
      </c>
      <c r="N938" s="6" t="str">
        <f t="shared" si="101"/>
        <v>Older Adults</v>
      </c>
      <c r="O938" s="6" t="s">
        <v>42</v>
      </c>
      <c r="P938" s="6" t="s">
        <v>50</v>
      </c>
      <c r="Q938" t="s">
        <v>3385</v>
      </c>
      <c r="R938" s="6" t="s">
        <v>28</v>
      </c>
      <c r="S938" s="6" t="s">
        <v>29</v>
      </c>
      <c r="T938" s="14">
        <v>1.6899999999999998E-2</v>
      </c>
      <c r="U938">
        <v>1.69</v>
      </c>
      <c r="V938" t="str">
        <f>IF(fin_table[[#This Row],[Interest Rate(%)]]&gt;4,"high","low")</f>
        <v>low</v>
      </c>
      <c r="W938" s="5">
        <v>9205.43</v>
      </c>
      <c r="X938" s="5">
        <f>fin_table[[#This Row],[Interest Rate]]*fin_table[[#This Row],[Loan Amount]]</f>
        <v>155.57176699999999</v>
      </c>
      <c r="Y938">
        <v>25</v>
      </c>
      <c r="Z938" s="3">
        <v>428</v>
      </c>
      <c r="AA938" s="3" t="str">
        <f t="shared" si="102"/>
        <v>Poor</v>
      </c>
      <c r="AB938" s="3" cm="1">
        <f t="array" ref="AB938">_xlfn.IFS(fin_table[[#This Row],[Transaction Status]]="Failed", 1, fin_table[[#This Row],[Transaction Status]]="Completed",0,fin_table[[#This Row],[Transaction Status]]="Pending",2)</f>
        <v>1</v>
      </c>
      <c r="AC938" s="3" t="str">
        <f>IF(fin_table[[#This Row],[Loan Defaulters]]=1,"Default", "Good")</f>
        <v>Default</v>
      </c>
      <c r="AD938" s="3">
        <f t="shared" si="103"/>
        <v>1</v>
      </c>
      <c r="AE938" s="4">
        <v>7317.1</v>
      </c>
      <c r="AF938" s="4" t="str">
        <f>IF(fin_table[[#This Row],[Monthly Income]]&lt;3000, "Low Income", IF(fin_table[[#This Row],[Monthly Income]]&lt;=5000, "Middle Income", "High Income"))</f>
        <v>High Income</v>
      </c>
      <c r="AG938" t="s">
        <v>30</v>
      </c>
      <c r="AH938" t="s">
        <v>3636</v>
      </c>
      <c r="AI938" t="str">
        <f t="shared" si="104"/>
        <v>Low-Risk</v>
      </c>
    </row>
    <row r="939" spans="1:35" x14ac:dyDescent="0.35">
      <c r="A939" t="s">
        <v>3386</v>
      </c>
      <c r="B939" t="s">
        <v>3387</v>
      </c>
      <c r="C939" t="s">
        <v>3388</v>
      </c>
      <c r="D939" s="1">
        <v>44938</v>
      </c>
      <c r="E939" s="1" t="str">
        <f t="shared" si="98"/>
        <v>12</v>
      </c>
      <c r="F939" s="1" t="str">
        <f t="shared" si="99"/>
        <v>Jan</v>
      </c>
      <c r="G939" s="6" t="s">
        <v>34</v>
      </c>
      <c r="H939" s="5">
        <v>2123.96</v>
      </c>
      <c r="I939" s="5" t="str">
        <f>IF(fin_table[[#This Row],[Account Balance]]&lt;20000,"Active", "Not Active")</f>
        <v>Not Active</v>
      </c>
      <c r="J939" s="5">
        <v>33602.9</v>
      </c>
      <c r="K939" s="5" t="str">
        <f t="shared" si="100"/>
        <v>Medium</v>
      </c>
      <c r="L939" s="6" t="s">
        <v>24</v>
      </c>
      <c r="M939">
        <v>28</v>
      </c>
      <c r="N939" s="6" t="str">
        <f t="shared" si="101"/>
        <v>Adults</v>
      </c>
      <c r="O939" s="6" t="s">
        <v>25</v>
      </c>
      <c r="P939" s="6" t="s">
        <v>36</v>
      </c>
      <c r="Q939" t="s">
        <v>257</v>
      </c>
      <c r="R939" s="6" t="s">
        <v>52</v>
      </c>
      <c r="S939" s="6" t="s">
        <v>62</v>
      </c>
      <c r="T939" s="14">
        <v>2.4299999999999999E-2</v>
      </c>
      <c r="U939">
        <v>2.4300000000000002</v>
      </c>
      <c r="V939" t="str">
        <f>IF(fin_table[[#This Row],[Interest Rate(%)]]&gt;4,"high","low")</f>
        <v>low</v>
      </c>
      <c r="W939" s="5">
        <v>36806.879999999997</v>
      </c>
      <c r="X939" s="5">
        <f>fin_table[[#This Row],[Interest Rate]]*fin_table[[#This Row],[Loan Amount]]</f>
        <v>894.40718399999992</v>
      </c>
      <c r="Y939">
        <v>18</v>
      </c>
      <c r="Z939" s="3">
        <v>570</v>
      </c>
      <c r="AA939" s="3" t="str">
        <f t="shared" si="102"/>
        <v>Poor</v>
      </c>
      <c r="AB939" s="3" cm="1">
        <f t="array" ref="AB939">_xlfn.IFS(fin_table[[#This Row],[Transaction Status]]="Failed", 1, fin_table[[#This Row],[Transaction Status]]="Completed",0,fin_table[[#This Row],[Transaction Status]]="Pending",2)</f>
        <v>2</v>
      </c>
      <c r="AC939" s="3" t="str">
        <f>IF(fin_table[[#This Row],[Loan Defaulters]]=1,"Default", "Good")</f>
        <v>Good</v>
      </c>
      <c r="AD939" s="3">
        <f t="shared" si="103"/>
        <v>1</v>
      </c>
      <c r="AE939" s="4">
        <v>8811.66</v>
      </c>
      <c r="AF939" s="4" t="str">
        <f>IF(fin_table[[#This Row],[Monthly Income]]&lt;3000, "Low Income", IF(fin_table[[#This Row],[Monthly Income]]&lt;=5000, "Middle Income", "High Income"))</f>
        <v>High Income</v>
      </c>
      <c r="AG939" t="s">
        <v>63</v>
      </c>
      <c r="AH939" t="s">
        <v>3636</v>
      </c>
      <c r="AI939" t="str">
        <f t="shared" si="104"/>
        <v>High-Risk</v>
      </c>
    </row>
    <row r="940" spans="1:35" x14ac:dyDescent="0.35">
      <c r="A940" t="s">
        <v>3389</v>
      </c>
      <c r="B940" t="s">
        <v>3390</v>
      </c>
      <c r="C940" t="s">
        <v>3391</v>
      </c>
      <c r="D940" s="1">
        <v>44991</v>
      </c>
      <c r="E940" s="1" t="str">
        <f t="shared" si="98"/>
        <v>06</v>
      </c>
      <c r="F940" s="1" t="str">
        <f t="shared" si="99"/>
        <v>Mar</v>
      </c>
      <c r="G940" s="6" t="s">
        <v>23</v>
      </c>
      <c r="H940" s="5">
        <v>5245.07</v>
      </c>
      <c r="I940" s="5" t="str">
        <f>IF(fin_table[[#This Row],[Account Balance]]&lt;20000,"Active", "Not Active")</f>
        <v>Not Active</v>
      </c>
      <c r="J940" s="5">
        <v>25534.84</v>
      </c>
      <c r="K940" s="5" t="str">
        <f t="shared" si="100"/>
        <v>Medium</v>
      </c>
      <c r="L940" s="6" t="s">
        <v>100</v>
      </c>
      <c r="M940">
        <v>62</v>
      </c>
      <c r="N940" s="6" t="str">
        <f t="shared" si="101"/>
        <v>Seniors</v>
      </c>
      <c r="O940" s="6" t="s">
        <v>42</v>
      </c>
      <c r="P940" s="6" t="s">
        <v>26</v>
      </c>
      <c r="Q940" t="s">
        <v>1305</v>
      </c>
      <c r="R940" s="6" t="s">
        <v>38</v>
      </c>
      <c r="S940" s="6" t="s">
        <v>44</v>
      </c>
      <c r="T940" s="14">
        <v>3.9199999999999999E-2</v>
      </c>
      <c r="U940">
        <v>3.92</v>
      </c>
      <c r="V940" t="str">
        <f>IF(fin_table[[#This Row],[Interest Rate(%)]]&gt;4,"high","low")</f>
        <v>low</v>
      </c>
      <c r="W940" s="5">
        <v>26681.654999999999</v>
      </c>
      <c r="X940" s="5">
        <f>fin_table[[#This Row],[Interest Rate]]*fin_table[[#This Row],[Loan Amount]]</f>
        <v>1045.9208759999999</v>
      </c>
      <c r="Y940">
        <v>13</v>
      </c>
      <c r="Z940" s="3">
        <v>388</v>
      </c>
      <c r="AA940" s="3" t="str">
        <f t="shared" si="102"/>
        <v>Poor</v>
      </c>
      <c r="AB940" s="3" cm="1">
        <f t="array" ref="AB940">_xlfn.IFS(fin_table[[#This Row],[Transaction Status]]="Failed", 1, fin_table[[#This Row],[Transaction Status]]="Completed",0,fin_table[[#This Row],[Transaction Status]]="Pending",2)</f>
        <v>0</v>
      </c>
      <c r="AC940" s="3" t="str">
        <f>IF(fin_table[[#This Row],[Loan Defaulters]]=1,"Default", "Good")</f>
        <v>Good</v>
      </c>
      <c r="AD940" s="3">
        <f t="shared" si="103"/>
        <v>1</v>
      </c>
      <c r="AE940" s="4">
        <v>3753.37</v>
      </c>
      <c r="AF940" s="4" t="str">
        <f>IF(fin_table[[#This Row],[Monthly Income]]&lt;3000, "Low Income", IF(fin_table[[#This Row],[Monthly Income]]&lt;=5000, "Middle Income", "High Income"))</f>
        <v>Middle Income</v>
      </c>
      <c r="AG940" t="s">
        <v>30</v>
      </c>
      <c r="AH940" t="s">
        <v>3635</v>
      </c>
      <c r="AI940" t="str">
        <f t="shared" si="104"/>
        <v>Low-Risk</v>
      </c>
    </row>
    <row r="941" spans="1:35" x14ac:dyDescent="0.35">
      <c r="A941" t="s">
        <v>3392</v>
      </c>
      <c r="B941" t="s">
        <v>3393</v>
      </c>
      <c r="C941" t="s">
        <v>3394</v>
      </c>
      <c r="D941" s="1">
        <v>44995</v>
      </c>
      <c r="E941" s="1" t="str">
        <f t="shared" si="98"/>
        <v>10</v>
      </c>
      <c r="F941" s="1" t="str">
        <f t="shared" si="99"/>
        <v>Mar</v>
      </c>
      <c r="G941" s="6" t="s">
        <v>34</v>
      </c>
      <c r="H941" s="5">
        <v>833.02</v>
      </c>
      <c r="I941" s="5" t="str">
        <f>IF(fin_table[[#This Row],[Account Balance]]&lt;20000,"Active", "Not Active")</f>
        <v>Not Active</v>
      </c>
      <c r="J941" s="5">
        <v>32598.2</v>
      </c>
      <c r="K941" s="5" t="str">
        <f t="shared" si="100"/>
        <v>Medium</v>
      </c>
      <c r="L941" s="6" t="s">
        <v>125</v>
      </c>
      <c r="M941">
        <v>24</v>
      </c>
      <c r="N941" s="6" t="str">
        <f t="shared" si="101"/>
        <v>Young Adults</v>
      </c>
      <c r="O941" s="6" t="s">
        <v>42</v>
      </c>
      <c r="P941" s="6" t="s">
        <v>50</v>
      </c>
      <c r="Q941" t="s">
        <v>3395</v>
      </c>
      <c r="R941" s="6" t="s">
        <v>38</v>
      </c>
      <c r="S941" s="6" t="s">
        <v>44</v>
      </c>
      <c r="T941" s="14">
        <v>4.8599999999999997E-2</v>
      </c>
      <c r="U941">
        <v>4.8600000000000003</v>
      </c>
      <c r="V941" t="str">
        <f>IF(fin_table[[#This Row],[Interest Rate(%)]]&gt;4,"high","low")</f>
        <v>high</v>
      </c>
      <c r="W941" s="5">
        <v>26681.654999999999</v>
      </c>
      <c r="X941" s="5">
        <f>fin_table[[#This Row],[Interest Rate]]*fin_table[[#This Row],[Loan Amount]]</f>
        <v>1296.7284329999998</v>
      </c>
      <c r="Y941">
        <v>10</v>
      </c>
      <c r="Z941" s="3">
        <v>765</v>
      </c>
      <c r="AA941" s="3" t="str">
        <f t="shared" si="102"/>
        <v>Very Good</v>
      </c>
      <c r="AB941" s="3" cm="1">
        <f t="array" ref="AB941">_xlfn.IFS(fin_table[[#This Row],[Transaction Status]]="Failed", 1, fin_table[[#This Row],[Transaction Status]]="Completed",0,fin_table[[#This Row],[Transaction Status]]="Pending",2)</f>
        <v>0</v>
      </c>
      <c r="AC941" s="3" t="str">
        <f>IF(fin_table[[#This Row],[Loan Defaulters]]=1,"Default", "Good")</f>
        <v>Good</v>
      </c>
      <c r="AD941" s="3">
        <f t="shared" si="103"/>
        <v>4</v>
      </c>
      <c r="AE941" s="4">
        <v>2337.77</v>
      </c>
      <c r="AF941" s="4" t="str">
        <f>IF(fin_table[[#This Row],[Monthly Income]]&lt;3000, "Low Income", IF(fin_table[[#This Row],[Monthly Income]]&lt;=5000, "Middle Income", "High Income"))</f>
        <v>Low Income</v>
      </c>
      <c r="AG941" t="s">
        <v>63</v>
      </c>
      <c r="AH941" t="s">
        <v>3635</v>
      </c>
      <c r="AI941" t="str">
        <f t="shared" si="104"/>
        <v>Low-Risk</v>
      </c>
    </row>
    <row r="942" spans="1:35" x14ac:dyDescent="0.35">
      <c r="A942" t="s">
        <v>3396</v>
      </c>
      <c r="B942" t="s">
        <v>3397</v>
      </c>
      <c r="C942" t="s">
        <v>3398</v>
      </c>
      <c r="D942" s="1">
        <v>44877</v>
      </c>
      <c r="E942" s="1" t="str">
        <f t="shared" si="98"/>
        <v>12</v>
      </c>
      <c r="F942" s="1" t="str">
        <f t="shared" si="99"/>
        <v>Nov</v>
      </c>
      <c r="G942" s="6" t="s">
        <v>71</v>
      </c>
      <c r="H942" s="5">
        <v>6094.28</v>
      </c>
      <c r="I942" s="5" t="str">
        <f>IF(fin_table[[#This Row],[Account Balance]]&lt;20000,"Active", "Not Active")</f>
        <v>Active</v>
      </c>
      <c r="J942" s="5">
        <v>2153.09</v>
      </c>
      <c r="K942" s="5" t="str">
        <f t="shared" si="100"/>
        <v>Low</v>
      </c>
      <c r="L942" s="6" t="s">
        <v>24</v>
      </c>
      <c r="M942">
        <v>62</v>
      </c>
      <c r="N942" s="6" t="str">
        <f t="shared" si="101"/>
        <v>Seniors</v>
      </c>
      <c r="O942" s="6" t="s">
        <v>25</v>
      </c>
      <c r="P942" s="6" t="s">
        <v>50</v>
      </c>
      <c r="Q942" t="s">
        <v>524</v>
      </c>
      <c r="R942" s="6" t="s">
        <v>52</v>
      </c>
      <c r="S942" s="6" t="s">
        <v>29</v>
      </c>
      <c r="T942" s="14">
        <v>1.6199999999999999E-2</v>
      </c>
      <c r="U942">
        <v>1.62</v>
      </c>
      <c r="V942" t="str">
        <f>IF(fin_table[[#This Row],[Interest Rate(%)]]&gt;4,"high","low")</f>
        <v>low</v>
      </c>
      <c r="W942" s="5">
        <v>5705.26</v>
      </c>
      <c r="X942" s="5">
        <f>fin_table[[#This Row],[Interest Rate]]*fin_table[[#This Row],[Loan Amount]]</f>
        <v>92.425212000000002</v>
      </c>
      <c r="Y942">
        <v>24</v>
      </c>
      <c r="Z942" s="3">
        <v>469</v>
      </c>
      <c r="AA942" s="3" t="str">
        <f t="shared" si="102"/>
        <v>Poor</v>
      </c>
      <c r="AB942" s="3" cm="1">
        <f t="array" ref="AB942">_xlfn.IFS(fin_table[[#This Row],[Transaction Status]]="Failed", 1, fin_table[[#This Row],[Transaction Status]]="Completed",0,fin_table[[#This Row],[Transaction Status]]="Pending",2)</f>
        <v>1</v>
      </c>
      <c r="AC942" s="3" t="str">
        <f>IF(fin_table[[#This Row],[Loan Defaulters]]=1,"Default", "Good")</f>
        <v>Default</v>
      </c>
      <c r="AD942" s="3">
        <f t="shared" si="103"/>
        <v>1</v>
      </c>
      <c r="AE942" s="4">
        <v>3986.48</v>
      </c>
      <c r="AF942" s="4" t="str">
        <f>IF(fin_table[[#This Row],[Monthly Income]]&lt;3000, "Low Income", IF(fin_table[[#This Row],[Monthly Income]]&lt;=5000, "Middle Income", "High Income"))</f>
        <v>Middle Income</v>
      </c>
      <c r="AG942" t="s">
        <v>63</v>
      </c>
      <c r="AH942" t="s">
        <v>3636</v>
      </c>
      <c r="AI942" t="str">
        <f t="shared" si="104"/>
        <v>Low-Risk</v>
      </c>
    </row>
    <row r="943" spans="1:35" x14ac:dyDescent="0.35">
      <c r="A943" t="s">
        <v>3399</v>
      </c>
      <c r="B943" t="s">
        <v>3400</v>
      </c>
      <c r="C943" t="s">
        <v>3401</v>
      </c>
      <c r="D943" s="1">
        <v>44814</v>
      </c>
      <c r="E943" s="1" t="str">
        <f t="shared" si="98"/>
        <v>10</v>
      </c>
      <c r="F943" s="1" t="str">
        <f t="shared" si="99"/>
        <v>Sep</v>
      </c>
      <c r="G943" s="6" t="s">
        <v>56</v>
      </c>
      <c r="H943" s="5">
        <v>5216.22</v>
      </c>
      <c r="I943" s="5" t="str">
        <f>IF(fin_table[[#This Row],[Account Balance]]&lt;20000,"Active", "Not Active")</f>
        <v>Not Active</v>
      </c>
      <c r="J943" s="5">
        <v>22051.52</v>
      </c>
      <c r="K943" s="5" t="str">
        <f t="shared" si="100"/>
        <v>Medium</v>
      </c>
      <c r="L943" s="6" t="s">
        <v>100</v>
      </c>
      <c r="M943">
        <v>19</v>
      </c>
      <c r="N943" s="6" t="str">
        <f t="shared" si="101"/>
        <v>Young Adults</v>
      </c>
      <c r="O943" s="6" t="s">
        <v>25</v>
      </c>
      <c r="P943" s="6" t="s">
        <v>36</v>
      </c>
      <c r="Q943" t="s">
        <v>3402</v>
      </c>
      <c r="R943" s="6" t="s">
        <v>28</v>
      </c>
      <c r="S943" s="6" t="s">
        <v>62</v>
      </c>
      <c r="T943" s="14">
        <v>1.9099999999999999E-2</v>
      </c>
      <c r="U943">
        <v>1.91</v>
      </c>
      <c r="V943" t="str">
        <f>IF(fin_table[[#This Row],[Interest Rate(%)]]&gt;4,"high","low")</f>
        <v>low</v>
      </c>
      <c r="W943" s="5">
        <v>23809.919999999998</v>
      </c>
      <c r="X943" s="5">
        <f>fin_table[[#This Row],[Interest Rate]]*fin_table[[#This Row],[Loan Amount]]</f>
        <v>454.76947199999995</v>
      </c>
      <c r="Y943">
        <v>13</v>
      </c>
      <c r="Z943" s="3">
        <v>427</v>
      </c>
      <c r="AA943" s="3" t="str">
        <f t="shared" si="102"/>
        <v>Poor</v>
      </c>
      <c r="AB943" s="3" cm="1">
        <f t="array" ref="AB943">_xlfn.IFS(fin_table[[#This Row],[Transaction Status]]="Failed", 1, fin_table[[#This Row],[Transaction Status]]="Completed",0,fin_table[[#This Row],[Transaction Status]]="Pending",2)</f>
        <v>2</v>
      </c>
      <c r="AC943" s="3" t="str">
        <f>IF(fin_table[[#This Row],[Loan Defaulters]]=1,"Default", "Good")</f>
        <v>Good</v>
      </c>
      <c r="AD943" s="3">
        <f t="shared" si="103"/>
        <v>1</v>
      </c>
      <c r="AE943" s="4">
        <v>10149.1</v>
      </c>
      <c r="AF943" s="4" t="str">
        <f>IF(fin_table[[#This Row],[Monthly Income]]&lt;3000, "Low Income", IF(fin_table[[#This Row],[Monthly Income]]&lt;=5000, "Middle Income", "High Income"))</f>
        <v>High Income</v>
      </c>
      <c r="AG943" t="s">
        <v>63</v>
      </c>
      <c r="AH943" t="s">
        <v>3636</v>
      </c>
      <c r="AI943" t="str">
        <f t="shared" si="104"/>
        <v>Low-Risk</v>
      </c>
    </row>
    <row r="944" spans="1:35" x14ac:dyDescent="0.35">
      <c r="A944" t="s">
        <v>3403</v>
      </c>
      <c r="B944" t="s">
        <v>3404</v>
      </c>
      <c r="C944" t="s">
        <v>3405</v>
      </c>
      <c r="D944" s="1">
        <v>44903</v>
      </c>
      <c r="E944" s="1" t="str">
        <f t="shared" si="98"/>
        <v>08</v>
      </c>
      <c r="F944" s="1" t="str">
        <f t="shared" si="99"/>
        <v>Dec</v>
      </c>
      <c r="G944" s="6" t="s">
        <v>34</v>
      </c>
      <c r="H944" s="5">
        <v>7427.6</v>
      </c>
      <c r="I944" s="5" t="str">
        <f>IF(fin_table[[#This Row],[Account Balance]]&lt;20000,"Active", "Not Active")</f>
        <v>Active</v>
      </c>
      <c r="J944" s="5">
        <v>14667.97</v>
      </c>
      <c r="K944" s="5" t="str">
        <f t="shared" si="100"/>
        <v>Medium</v>
      </c>
      <c r="L944" s="6" t="s">
        <v>125</v>
      </c>
      <c r="M944">
        <v>23</v>
      </c>
      <c r="N944" s="6" t="str">
        <f t="shared" si="101"/>
        <v>Young Adults</v>
      </c>
      <c r="O944" s="6" t="s">
        <v>25</v>
      </c>
      <c r="P944" s="6" t="s">
        <v>50</v>
      </c>
      <c r="Q944" t="s">
        <v>3406</v>
      </c>
      <c r="R944" s="6" t="s">
        <v>38</v>
      </c>
      <c r="S944" s="6" t="s">
        <v>62</v>
      </c>
      <c r="T944" s="14">
        <v>1.9E-2</v>
      </c>
      <c r="U944">
        <v>1.9E-2</v>
      </c>
      <c r="V944" t="str">
        <f>IF(fin_table[[#This Row],[Interest Rate(%)]]&gt;4,"high","low")</f>
        <v>low</v>
      </c>
      <c r="W944" s="5">
        <v>26681.654999999999</v>
      </c>
      <c r="X944" s="5">
        <f>fin_table[[#This Row],[Interest Rate]]*fin_table[[#This Row],[Loan Amount]]</f>
        <v>506.95144499999998</v>
      </c>
      <c r="Y944">
        <v>27</v>
      </c>
      <c r="Z944" s="3">
        <v>473</v>
      </c>
      <c r="AA944" s="3" t="str">
        <f t="shared" si="102"/>
        <v>Poor</v>
      </c>
      <c r="AB944" s="3" cm="1">
        <f t="array" ref="AB944">_xlfn.IFS(fin_table[[#This Row],[Transaction Status]]="Failed", 1, fin_table[[#This Row],[Transaction Status]]="Completed",0,fin_table[[#This Row],[Transaction Status]]="Pending",2)</f>
        <v>2</v>
      </c>
      <c r="AC944" s="3" t="str">
        <f>IF(fin_table[[#This Row],[Loan Defaulters]]=1,"Default", "Good")</f>
        <v>Good</v>
      </c>
      <c r="AD944" s="3">
        <f t="shared" si="103"/>
        <v>1</v>
      </c>
      <c r="AE944" s="4">
        <v>2957.04</v>
      </c>
      <c r="AF944" s="4" t="str">
        <f>IF(fin_table[[#This Row],[Monthly Income]]&lt;3000, "Low Income", IF(fin_table[[#This Row],[Monthly Income]]&lt;=5000, "Middle Income", "High Income"))</f>
        <v>Low Income</v>
      </c>
      <c r="AG944" t="s">
        <v>30</v>
      </c>
      <c r="AH944" t="s">
        <v>3635</v>
      </c>
      <c r="AI944" t="str">
        <f t="shared" si="104"/>
        <v>Low-Risk</v>
      </c>
    </row>
    <row r="945" spans="1:35" x14ac:dyDescent="0.35">
      <c r="A945" t="s">
        <v>3407</v>
      </c>
      <c r="B945" t="s">
        <v>3408</v>
      </c>
      <c r="C945" t="s">
        <v>3409</v>
      </c>
      <c r="D945" s="1">
        <v>45018</v>
      </c>
      <c r="E945" s="1" t="str">
        <f t="shared" si="98"/>
        <v>02</v>
      </c>
      <c r="F945" s="1" t="str">
        <f t="shared" si="99"/>
        <v>Apr</v>
      </c>
      <c r="G945" s="6" t="s">
        <v>71</v>
      </c>
      <c r="H945" s="5">
        <v>6343.93</v>
      </c>
      <c r="I945" s="5" t="str">
        <f>IF(fin_table[[#This Row],[Account Balance]]&lt;20000,"Active", "Not Active")</f>
        <v>Active</v>
      </c>
      <c r="J945" s="5">
        <v>7329.55</v>
      </c>
      <c r="K945" s="5" t="str">
        <f t="shared" si="100"/>
        <v>Low</v>
      </c>
      <c r="L945" s="6" t="s">
        <v>49</v>
      </c>
      <c r="M945">
        <v>58</v>
      </c>
      <c r="N945" s="6" t="str">
        <f t="shared" si="101"/>
        <v>Older Adults</v>
      </c>
      <c r="O945" s="6" t="s">
        <v>25</v>
      </c>
      <c r="P945" s="6" t="s">
        <v>36</v>
      </c>
      <c r="Q945" t="s">
        <v>3410</v>
      </c>
      <c r="R945" s="6" t="s">
        <v>38</v>
      </c>
      <c r="S945" s="6" t="s">
        <v>29</v>
      </c>
      <c r="T945" s="14">
        <v>1.0800000000000001E-2</v>
      </c>
      <c r="U945">
        <v>1.08</v>
      </c>
      <c r="V945" t="str">
        <f>IF(fin_table[[#This Row],[Interest Rate(%)]]&gt;4,"high","low")</f>
        <v>low</v>
      </c>
      <c r="W945" s="5">
        <v>26681.654999999999</v>
      </c>
      <c r="X945" s="5">
        <f>fin_table[[#This Row],[Interest Rate]]*fin_table[[#This Row],[Loan Amount]]</f>
        <v>288.16187400000001</v>
      </c>
      <c r="Y945">
        <v>13</v>
      </c>
      <c r="Z945" s="3">
        <v>325</v>
      </c>
      <c r="AA945" s="3" t="str">
        <f t="shared" si="102"/>
        <v>Poor</v>
      </c>
      <c r="AB945" s="3" cm="1">
        <f t="array" ref="AB945">_xlfn.IFS(fin_table[[#This Row],[Transaction Status]]="Failed", 1, fin_table[[#This Row],[Transaction Status]]="Completed",0,fin_table[[#This Row],[Transaction Status]]="Pending",2)</f>
        <v>1</v>
      </c>
      <c r="AC945" s="3" t="str">
        <f>IF(fin_table[[#This Row],[Loan Defaulters]]=1,"Default", "Good")</f>
        <v>Default</v>
      </c>
      <c r="AD945" s="3">
        <f t="shared" si="103"/>
        <v>1</v>
      </c>
      <c r="AE945" s="4">
        <v>4466.05</v>
      </c>
      <c r="AF945" s="4" t="str">
        <f>IF(fin_table[[#This Row],[Monthly Income]]&lt;3000, "Low Income", IF(fin_table[[#This Row],[Monthly Income]]&lt;=5000, "Middle Income", "High Income"))</f>
        <v>Middle Income</v>
      </c>
      <c r="AG945" t="s">
        <v>63</v>
      </c>
      <c r="AH945" t="s">
        <v>3635</v>
      </c>
      <c r="AI945" t="str">
        <f t="shared" si="104"/>
        <v>Low-Risk</v>
      </c>
    </row>
    <row r="946" spans="1:35" x14ac:dyDescent="0.35">
      <c r="A946" t="s">
        <v>3411</v>
      </c>
      <c r="B946" t="s">
        <v>3412</v>
      </c>
      <c r="C946" t="s">
        <v>3413</v>
      </c>
      <c r="D946" s="1">
        <v>44761</v>
      </c>
      <c r="E946" s="1" t="str">
        <f t="shared" si="98"/>
        <v>19</v>
      </c>
      <c r="F946" s="1" t="str">
        <f t="shared" si="99"/>
        <v>Jul</v>
      </c>
      <c r="G946" s="6" t="s">
        <v>23</v>
      </c>
      <c r="H946" s="5">
        <v>5541.1</v>
      </c>
      <c r="I946" s="5" t="str">
        <f>IF(fin_table[[#This Row],[Account Balance]]&lt;20000,"Active", "Not Active")</f>
        <v>Active</v>
      </c>
      <c r="J946" s="5">
        <v>5877.78</v>
      </c>
      <c r="K946" s="5" t="str">
        <f t="shared" si="100"/>
        <v>Low</v>
      </c>
      <c r="L946" s="6" t="s">
        <v>49</v>
      </c>
      <c r="M946">
        <v>49</v>
      </c>
      <c r="N946" s="6" t="str">
        <f t="shared" si="101"/>
        <v>Older Adults</v>
      </c>
      <c r="O946" s="6" t="s">
        <v>42</v>
      </c>
      <c r="P946" s="6" t="s">
        <v>26</v>
      </c>
      <c r="Q946" t="s">
        <v>1973</v>
      </c>
      <c r="R946" s="6" t="s">
        <v>38</v>
      </c>
      <c r="S946" s="6" t="s">
        <v>62</v>
      </c>
      <c r="T946" s="14">
        <v>3.4200000000000001E-2</v>
      </c>
      <c r="U946">
        <v>3.42</v>
      </c>
      <c r="V946" t="str">
        <f>IF(fin_table[[#This Row],[Interest Rate(%)]]&gt;4,"high","low")</f>
        <v>low</v>
      </c>
      <c r="W946" s="5">
        <v>17029.830000000002</v>
      </c>
      <c r="X946" s="5">
        <f>fin_table[[#This Row],[Interest Rate]]*fin_table[[#This Row],[Loan Amount]]</f>
        <v>582.42018600000006</v>
      </c>
      <c r="Y946">
        <v>13</v>
      </c>
      <c r="Z946" s="3">
        <v>810</v>
      </c>
      <c r="AA946" s="3" t="str">
        <f t="shared" si="102"/>
        <v>Excellent</v>
      </c>
      <c r="AB946" s="3" cm="1">
        <f t="array" ref="AB946">_xlfn.IFS(fin_table[[#This Row],[Transaction Status]]="Failed", 1, fin_table[[#This Row],[Transaction Status]]="Completed",0,fin_table[[#This Row],[Transaction Status]]="Pending",2)</f>
        <v>2</v>
      </c>
      <c r="AC946" s="3" t="str">
        <f>IF(fin_table[[#This Row],[Loan Defaulters]]=1,"Default", "Good")</f>
        <v>Good</v>
      </c>
      <c r="AD946" s="3">
        <f t="shared" si="103"/>
        <v>5</v>
      </c>
      <c r="AE946" s="4">
        <v>6392.1</v>
      </c>
      <c r="AF946" s="4" t="str">
        <f>IF(fin_table[[#This Row],[Monthly Income]]&lt;3000, "Low Income", IF(fin_table[[#This Row],[Monthly Income]]&lt;=5000, "Middle Income", "High Income"))</f>
        <v>High Income</v>
      </c>
      <c r="AG946" t="s">
        <v>45</v>
      </c>
      <c r="AH946" t="s">
        <v>3636</v>
      </c>
      <c r="AI946" t="str">
        <f t="shared" si="104"/>
        <v>Low-Risk</v>
      </c>
    </row>
    <row r="947" spans="1:35" x14ac:dyDescent="0.35">
      <c r="A947" t="s">
        <v>3414</v>
      </c>
      <c r="B947" t="s">
        <v>3415</v>
      </c>
      <c r="C947" t="s">
        <v>3416</v>
      </c>
      <c r="D947" s="1">
        <v>45066</v>
      </c>
      <c r="E947" s="1" t="str">
        <f t="shared" si="98"/>
        <v>20</v>
      </c>
      <c r="F947" s="1" t="str">
        <f t="shared" si="99"/>
        <v>May</v>
      </c>
      <c r="G947" s="6" t="s">
        <v>34</v>
      </c>
      <c r="H947" s="5">
        <v>6928.81</v>
      </c>
      <c r="I947" s="5" t="str">
        <f>IF(fin_table[[#This Row],[Account Balance]]&lt;20000,"Active", "Not Active")</f>
        <v>Not Active</v>
      </c>
      <c r="J947" s="5">
        <v>30556.42</v>
      </c>
      <c r="K947" s="5" t="str">
        <f t="shared" si="100"/>
        <v>Medium</v>
      </c>
      <c r="L947" s="6" t="s">
        <v>49</v>
      </c>
      <c r="M947">
        <v>37</v>
      </c>
      <c r="N947" s="6" t="str">
        <f t="shared" si="101"/>
        <v>Middle-Aged</v>
      </c>
      <c r="O947" s="6" t="s">
        <v>25</v>
      </c>
      <c r="P947" s="6" t="s">
        <v>26</v>
      </c>
      <c r="Q947" t="s">
        <v>2059</v>
      </c>
      <c r="R947" s="6" t="s">
        <v>28</v>
      </c>
      <c r="S947" s="6" t="s">
        <v>29</v>
      </c>
      <c r="T947" s="14">
        <v>3.6799999999999999E-2</v>
      </c>
      <c r="U947">
        <v>3.68</v>
      </c>
      <c r="V947" t="str">
        <f>IF(fin_table[[#This Row],[Interest Rate(%)]]&gt;4,"high","low")</f>
        <v>low</v>
      </c>
      <c r="W947" s="5">
        <v>33370.620000000003</v>
      </c>
      <c r="X947" s="5">
        <f>fin_table[[#This Row],[Interest Rate]]*fin_table[[#This Row],[Loan Amount]]</f>
        <v>1228.038816</v>
      </c>
      <c r="Y947">
        <v>13</v>
      </c>
      <c r="Z947" s="3">
        <v>787</v>
      </c>
      <c r="AA947" s="3" t="str">
        <f t="shared" si="102"/>
        <v>Very Good</v>
      </c>
      <c r="AB947" s="3" cm="1">
        <f t="array" ref="AB947">_xlfn.IFS(fin_table[[#This Row],[Transaction Status]]="Failed", 1, fin_table[[#This Row],[Transaction Status]]="Completed",0,fin_table[[#This Row],[Transaction Status]]="Pending",2)</f>
        <v>1</v>
      </c>
      <c r="AC947" s="3" t="str">
        <f>IF(fin_table[[#This Row],[Loan Defaulters]]=1,"Default", "Good")</f>
        <v>Default</v>
      </c>
      <c r="AD947" s="3">
        <f t="shared" si="103"/>
        <v>4</v>
      </c>
      <c r="AE947" s="4">
        <v>3012.31</v>
      </c>
      <c r="AF947" s="4" t="str">
        <f>IF(fin_table[[#This Row],[Monthly Income]]&lt;3000, "Low Income", IF(fin_table[[#This Row],[Monthly Income]]&lt;=5000, "Middle Income", "High Income"))</f>
        <v>Middle Income</v>
      </c>
      <c r="AG947" t="s">
        <v>45</v>
      </c>
      <c r="AH947" t="s">
        <v>3636</v>
      </c>
      <c r="AI947" t="str">
        <f t="shared" si="104"/>
        <v>Low-Risk</v>
      </c>
    </row>
    <row r="948" spans="1:35" x14ac:dyDescent="0.35">
      <c r="A948" t="s">
        <v>3417</v>
      </c>
      <c r="B948" t="s">
        <v>3418</v>
      </c>
      <c r="C948" t="s">
        <v>3419</v>
      </c>
      <c r="D948" s="1">
        <v>44720</v>
      </c>
      <c r="E948" s="1" t="str">
        <f t="shared" si="98"/>
        <v>08</v>
      </c>
      <c r="F948" s="1" t="str">
        <f t="shared" si="99"/>
        <v>Jun</v>
      </c>
      <c r="G948" s="6" t="s">
        <v>56</v>
      </c>
      <c r="H948" s="5">
        <v>1525.02</v>
      </c>
      <c r="I948" s="5" t="str">
        <f>IF(fin_table[[#This Row],[Account Balance]]&lt;20000,"Active", "Not Active")</f>
        <v>Not Active</v>
      </c>
      <c r="J948" s="5">
        <v>26656.43</v>
      </c>
      <c r="K948" s="5" t="str">
        <f t="shared" si="100"/>
        <v>Medium</v>
      </c>
      <c r="L948" s="6" t="s">
        <v>24</v>
      </c>
      <c r="M948">
        <v>51</v>
      </c>
      <c r="N948" s="6" t="str">
        <f t="shared" si="101"/>
        <v>Older Adults</v>
      </c>
      <c r="O948" s="6" t="s">
        <v>42</v>
      </c>
      <c r="P948" s="6" t="s">
        <v>50</v>
      </c>
      <c r="Q948" t="s">
        <v>2543</v>
      </c>
      <c r="R948" s="6" t="s">
        <v>38</v>
      </c>
      <c r="S948" s="6" t="s">
        <v>29</v>
      </c>
      <c r="T948" s="14">
        <v>3.4099999999999998E-2</v>
      </c>
      <c r="U948">
        <v>3.41</v>
      </c>
      <c r="V948" t="str">
        <f>IF(fin_table[[#This Row],[Interest Rate(%)]]&gt;4,"high","low")</f>
        <v>low</v>
      </c>
      <c r="W948" s="5">
        <v>28845.98</v>
      </c>
      <c r="X948" s="5">
        <f>fin_table[[#This Row],[Interest Rate]]*fin_table[[#This Row],[Loan Amount]]</f>
        <v>983.64791799999989</v>
      </c>
      <c r="Y948">
        <v>27</v>
      </c>
      <c r="Z948" s="3">
        <v>705</v>
      </c>
      <c r="AA948" s="3" t="str">
        <f t="shared" si="102"/>
        <v>Good</v>
      </c>
      <c r="AB948" s="3" cm="1">
        <f t="array" ref="AB948">_xlfn.IFS(fin_table[[#This Row],[Transaction Status]]="Failed", 1, fin_table[[#This Row],[Transaction Status]]="Completed",0,fin_table[[#This Row],[Transaction Status]]="Pending",2)</f>
        <v>1</v>
      </c>
      <c r="AC948" s="3" t="str">
        <f>IF(fin_table[[#This Row],[Loan Defaulters]]=1,"Default", "Good")</f>
        <v>Default</v>
      </c>
      <c r="AD948" s="3">
        <f t="shared" si="103"/>
        <v>3</v>
      </c>
      <c r="AE948" s="4">
        <v>4492.09</v>
      </c>
      <c r="AF948" s="4" t="str">
        <f>IF(fin_table[[#This Row],[Monthly Income]]&lt;3000, "Low Income", IF(fin_table[[#This Row],[Monthly Income]]&lt;=5000, "Middle Income", "High Income"))</f>
        <v>Middle Income</v>
      </c>
      <c r="AG948" t="s">
        <v>30</v>
      </c>
      <c r="AH948" t="s">
        <v>3636</v>
      </c>
      <c r="AI948" t="str">
        <f t="shared" si="104"/>
        <v>Low-Risk</v>
      </c>
    </row>
    <row r="949" spans="1:35" x14ac:dyDescent="0.35">
      <c r="A949" t="s">
        <v>3420</v>
      </c>
      <c r="B949" t="s">
        <v>3421</v>
      </c>
      <c r="C949" t="s">
        <v>3422</v>
      </c>
      <c r="D949" s="1">
        <v>45023</v>
      </c>
      <c r="E949" s="1" t="str">
        <f t="shared" si="98"/>
        <v>07</v>
      </c>
      <c r="F949" s="1" t="str">
        <f t="shared" si="99"/>
        <v>Apr</v>
      </c>
      <c r="G949" s="6" t="s">
        <v>23</v>
      </c>
      <c r="H949" s="5">
        <v>5994.06</v>
      </c>
      <c r="I949" s="5" t="str">
        <f>IF(fin_table[[#This Row],[Account Balance]]&lt;20000,"Active", "Not Active")</f>
        <v>Active</v>
      </c>
      <c r="J949" s="5">
        <v>13425.62</v>
      </c>
      <c r="K949" s="5" t="str">
        <f t="shared" si="100"/>
        <v>Medium</v>
      </c>
      <c r="L949" s="6" t="s">
        <v>49</v>
      </c>
      <c r="M949">
        <v>67</v>
      </c>
      <c r="N949" s="6" t="str">
        <f t="shared" si="101"/>
        <v>Seniors</v>
      </c>
      <c r="O949" s="6" t="s">
        <v>25</v>
      </c>
      <c r="P949" s="6" t="s">
        <v>26</v>
      </c>
      <c r="Q949" t="s">
        <v>3423</v>
      </c>
      <c r="R949" s="6" t="s">
        <v>52</v>
      </c>
      <c r="S949" s="6" t="s">
        <v>29</v>
      </c>
      <c r="T949" s="14">
        <v>1.29E-2</v>
      </c>
      <c r="U949">
        <v>1.29</v>
      </c>
      <c r="V949" t="str">
        <f>IF(fin_table[[#This Row],[Interest Rate(%)]]&gt;4,"high","low")</f>
        <v>low</v>
      </c>
      <c r="W949" s="5">
        <v>8104.43</v>
      </c>
      <c r="X949" s="5">
        <f>fin_table[[#This Row],[Interest Rate]]*fin_table[[#This Row],[Loan Amount]]</f>
        <v>104.54714700000001</v>
      </c>
      <c r="Y949">
        <v>20</v>
      </c>
      <c r="Z949" s="3">
        <v>325</v>
      </c>
      <c r="AA949" s="3" t="str">
        <f t="shared" si="102"/>
        <v>Poor</v>
      </c>
      <c r="AB949" s="3" cm="1">
        <f t="array" ref="AB949">_xlfn.IFS(fin_table[[#This Row],[Transaction Status]]="Failed", 1, fin_table[[#This Row],[Transaction Status]]="Completed",0,fin_table[[#This Row],[Transaction Status]]="Pending",2)</f>
        <v>1</v>
      </c>
      <c r="AC949" s="3" t="str">
        <f>IF(fin_table[[#This Row],[Loan Defaulters]]=1,"Default", "Good")</f>
        <v>Default</v>
      </c>
      <c r="AD949" s="3">
        <f t="shared" si="103"/>
        <v>1</v>
      </c>
      <c r="AE949" s="4">
        <v>13846.51</v>
      </c>
      <c r="AF949" s="4" t="str">
        <f>IF(fin_table[[#This Row],[Monthly Income]]&lt;3000, "Low Income", IF(fin_table[[#This Row],[Monthly Income]]&lt;=5000, "Middle Income", "High Income"))</f>
        <v>High Income</v>
      </c>
      <c r="AG949" t="s">
        <v>63</v>
      </c>
      <c r="AH949" t="s">
        <v>3636</v>
      </c>
      <c r="AI949" t="str">
        <f t="shared" si="104"/>
        <v>Low-Risk</v>
      </c>
    </row>
    <row r="950" spans="1:35" x14ac:dyDescent="0.35">
      <c r="A950" t="s">
        <v>3424</v>
      </c>
      <c r="B950" t="s">
        <v>3425</v>
      </c>
      <c r="C950" t="s">
        <v>3426</v>
      </c>
      <c r="D950" s="1">
        <v>44846</v>
      </c>
      <c r="E950" s="1" t="str">
        <f t="shared" si="98"/>
        <v>12</v>
      </c>
      <c r="F950" s="1" t="str">
        <f t="shared" si="99"/>
        <v>Oct</v>
      </c>
      <c r="G950" s="6" t="s">
        <v>23</v>
      </c>
      <c r="H950" s="5">
        <v>1803.89</v>
      </c>
      <c r="I950" s="5" t="str">
        <f>IF(fin_table[[#This Row],[Account Balance]]&lt;20000,"Active", "Not Active")</f>
        <v>Not Active</v>
      </c>
      <c r="J950" s="5">
        <v>24076.55</v>
      </c>
      <c r="K950" s="5" t="str">
        <f t="shared" si="100"/>
        <v>Medium</v>
      </c>
      <c r="L950" s="6" t="s">
        <v>35</v>
      </c>
      <c r="M950">
        <v>33</v>
      </c>
      <c r="N950" s="6" t="str">
        <f t="shared" si="101"/>
        <v>Adults</v>
      </c>
      <c r="O950" s="6" t="s">
        <v>42</v>
      </c>
      <c r="P950" s="6" t="s">
        <v>26</v>
      </c>
      <c r="Q950" t="s">
        <v>1161</v>
      </c>
      <c r="R950" s="6" t="s">
        <v>28</v>
      </c>
      <c r="S950" s="6" t="s">
        <v>44</v>
      </c>
      <c r="T950" s="14">
        <v>1.2800000000000001E-2</v>
      </c>
      <c r="U950">
        <v>1.28</v>
      </c>
      <c r="V950" t="str">
        <f>IF(fin_table[[#This Row],[Interest Rate(%)]]&gt;4,"high","low")</f>
        <v>low</v>
      </c>
      <c r="W950" s="5">
        <v>26681.654999999999</v>
      </c>
      <c r="X950" s="5">
        <f>fin_table[[#This Row],[Interest Rate]]*fin_table[[#This Row],[Loan Amount]]</f>
        <v>341.52518400000002</v>
      </c>
      <c r="Y950">
        <v>13</v>
      </c>
      <c r="Z950" s="3">
        <v>382</v>
      </c>
      <c r="AA950" s="3" t="str">
        <f t="shared" si="102"/>
        <v>Poor</v>
      </c>
      <c r="AB950" s="3" cm="1">
        <f t="array" ref="AB950">_xlfn.IFS(fin_table[[#This Row],[Transaction Status]]="Failed", 1, fin_table[[#This Row],[Transaction Status]]="Completed",0,fin_table[[#This Row],[Transaction Status]]="Pending",2)</f>
        <v>0</v>
      </c>
      <c r="AC950" s="3" t="str">
        <f>IF(fin_table[[#This Row],[Loan Defaulters]]=1,"Default", "Good")</f>
        <v>Good</v>
      </c>
      <c r="AD950" s="3">
        <f t="shared" si="103"/>
        <v>1</v>
      </c>
      <c r="AE950" s="4">
        <v>2250.89</v>
      </c>
      <c r="AF950" s="4" t="str">
        <f>IF(fin_table[[#This Row],[Monthly Income]]&lt;3000, "Low Income", IF(fin_table[[#This Row],[Monthly Income]]&lt;=5000, "Middle Income", "High Income"))</f>
        <v>Low Income</v>
      </c>
      <c r="AG950" t="s">
        <v>45</v>
      </c>
      <c r="AH950" t="s">
        <v>3635</v>
      </c>
      <c r="AI950" t="str">
        <f t="shared" si="104"/>
        <v>Low-Risk</v>
      </c>
    </row>
    <row r="951" spans="1:35" x14ac:dyDescent="0.35">
      <c r="A951" t="s">
        <v>3427</v>
      </c>
      <c r="B951" t="s">
        <v>3428</v>
      </c>
      <c r="C951" t="s">
        <v>3429</v>
      </c>
      <c r="D951" s="1">
        <v>44792</v>
      </c>
      <c r="E951" s="1" t="str">
        <f t="shared" si="98"/>
        <v>19</v>
      </c>
      <c r="F951" s="1" t="str">
        <f t="shared" si="99"/>
        <v>Aug</v>
      </c>
      <c r="G951" s="6" t="s">
        <v>71</v>
      </c>
      <c r="H951" s="5">
        <v>9262.67</v>
      </c>
      <c r="I951" s="5" t="str">
        <f>IF(fin_table[[#This Row],[Account Balance]]&lt;20000,"Active", "Not Active")</f>
        <v>Not Active</v>
      </c>
      <c r="J951" s="5">
        <v>25119.38</v>
      </c>
      <c r="K951" s="5" t="str">
        <f t="shared" si="100"/>
        <v>Medium</v>
      </c>
      <c r="L951" s="6" t="s">
        <v>100</v>
      </c>
      <c r="M951">
        <v>42</v>
      </c>
      <c r="N951" s="6" t="str">
        <f t="shared" si="101"/>
        <v>Middle-Aged</v>
      </c>
      <c r="O951" s="6" t="s">
        <v>25</v>
      </c>
      <c r="P951" s="6" t="s">
        <v>50</v>
      </c>
      <c r="Q951" t="s">
        <v>422</v>
      </c>
      <c r="R951" s="6" t="s">
        <v>52</v>
      </c>
      <c r="S951" s="6" t="s">
        <v>44</v>
      </c>
      <c r="T951" s="14">
        <v>1.84E-2</v>
      </c>
      <c r="U951">
        <v>1.84</v>
      </c>
      <c r="V951" t="str">
        <f>IF(fin_table[[#This Row],[Interest Rate(%)]]&gt;4,"high","low")</f>
        <v>low</v>
      </c>
      <c r="W951" s="5">
        <v>26681.654999999999</v>
      </c>
      <c r="X951" s="5">
        <f>fin_table[[#This Row],[Interest Rate]]*fin_table[[#This Row],[Loan Amount]]</f>
        <v>490.94245199999995</v>
      </c>
      <c r="Y951">
        <v>11</v>
      </c>
      <c r="Z951" s="3">
        <v>663</v>
      </c>
      <c r="AA951" s="3" t="str">
        <f t="shared" si="102"/>
        <v>Fair</v>
      </c>
      <c r="AB951" s="3" cm="1">
        <f t="array" ref="AB951">_xlfn.IFS(fin_table[[#This Row],[Transaction Status]]="Failed", 1, fin_table[[#This Row],[Transaction Status]]="Completed",0,fin_table[[#This Row],[Transaction Status]]="Pending",2)</f>
        <v>0</v>
      </c>
      <c r="AC951" s="3" t="str">
        <f>IF(fin_table[[#This Row],[Loan Defaulters]]=1,"Default", "Good")</f>
        <v>Good</v>
      </c>
      <c r="AD951" s="3">
        <f t="shared" si="103"/>
        <v>2</v>
      </c>
      <c r="AE951" s="4">
        <v>10494.62</v>
      </c>
      <c r="AF951" s="4" t="str">
        <f>IF(fin_table[[#This Row],[Monthly Income]]&lt;3000, "Low Income", IF(fin_table[[#This Row],[Monthly Income]]&lt;=5000, "Middle Income", "High Income"))</f>
        <v>High Income</v>
      </c>
      <c r="AG951" t="s">
        <v>30</v>
      </c>
      <c r="AH951" t="s">
        <v>3635</v>
      </c>
      <c r="AI951" t="str">
        <f t="shared" si="104"/>
        <v>Low-Risk</v>
      </c>
    </row>
    <row r="952" spans="1:35" x14ac:dyDescent="0.35">
      <c r="A952" t="s">
        <v>3430</v>
      </c>
      <c r="B952" t="s">
        <v>3431</v>
      </c>
      <c r="C952" t="s">
        <v>3432</v>
      </c>
      <c r="D952" s="1">
        <v>44587</v>
      </c>
      <c r="E952" s="1" t="str">
        <f t="shared" si="98"/>
        <v>26</v>
      </c>
      <c r="F952" s="1" t="str">
        <f t="shared" si="99"/>
        <v>Jan</v>
      </c>
      <c r="G952" s="6" t="s">
        <v>34</v>
      </c>
      <c r="H952" s="5">
        <v>776.51</v>
      </c>
      <c r="I952" s="5" t="str">
        <f>IF(fin_table[[#This Row],[Account Balance]]&lt;20000,"Active", "Not Active")</f>
        <v>Active</v>
      </c>
      <c r="J952" s="5">
        <v>10555.44</v>
      </c>
      <c r="K952" s="5" t="str">
        <f t="shared" si="100"/>
        <v>Medium</v>
      </c>
      <c r="L952" s="6" t="s">
        <v>24</v>
      </c>
      <c r="M952">
        <v>29</v>
      </c>
      <c r="N952" s="6" t="str">
        <f t="shared" si="101"/>
        <v>Adults</v>
      </c>
      <c r="O952" s="6" t="s">
        <v>25</v>
      </c>
      <c r="P952" s="6" t="s">
        <v>26</v>
      </c>
      <c r="Q952" t="s">
        <v>3339</v>
      </c>
      <c r="R952" s="6" t="s">
        <v>52</v>
      </c>
      <c r="S952" s="6" t="s">
        <v>44</v>
      </c>
      <c r="T952" s="14">
        <v>2.1600000000000001E-2</v>
      </c>
      <c r="U952">
        <v>2.16</v>
      </c>
      <c r="V952" t="str">
        <f>IF(fin_table[[#This Row],[Interest Rate(%)]]&gt;4,"high","low")</f>
        <v>low</v>
      </c>
      <c r="W952" s="5">
        <v>26681.654999999999</v>
      </c>
      <c r="X952" s="5">
        <f>fin_table[[#This Row],[Interest Rate]]*fin_table[[#This Row],[Loan Amount]]</f>
        <v>576.32374800000002</v>
      </c>
      <c r="Y952">
        <v>6</v>
      </c>
      <c r="Z952" s="3">
        <v>666</v>
      </c>
      <c r="AA952" s="3" t="str">
        <f t="shared" si="102"/>
        <v>Fair</v>
      </c>
      <c r="AB952" s="3" cm="1">
        <f t="array" ref="AB952">_xlfn.IFS(fin_table[[#This Row],[Transaction Status]]="Failed", 1, fin_table[[#This Row],[Transaction Status]]="Completed",0,fin_table[[#This Row],[Transaction Status]]="Pending",2)</f>
        <v>0</v>
      </c>
      <c r="AC952" s="3" t="str">
        <f>IF(fin_table[[#This Row],[Loan Defaulters]]=1,"Default", "Good")</f>
        <v>Good</v>
      </c>
      <c r="AD952" s="3">
        <f t="shared" si="103"/>
        <v>2</v>
      </c>
      <c r="AE952" s="4">
        <v>6997.32</v>
      </c>
      <c r="AF952" s="4" t="str">
        <f>IF(fin_table[[#This Row],[Monthly Income]]&lt;3000, "Low Income", IF(fin_table[[#This Row],[Monthly Income]]&lt;=5000, "Middle Income", "High Income"))</f>
        <v>High Income</v>
      </c>
      <c r="AG952" t="s">
        <v>30</v>
      </c>
      <c r="AH952" t="s">
        <v>3635</v>
      </c>
      <c r="AI952" t="str">
        <f t="shared" si="104"/>
        <v>Low-Risk</v>
      </c>
    </row>
    <row r="953" spans="1:35" x14ac:dyDescent="0.35">
      <c r="A953" t="s">
        <v>3433</v>
      </c>
      <c r="B953" t="s">
        <v>3434</v>
      </c>
      <c r="C953" t="s">
        <v>3435</v>
      </c>
      <c r="D953" s="1">
        <v>45010</v>
      </c>
      <c r="E953" s="1" t="str">
        <f t="shared" si="98"/>
        <v>25</v>
      </c>
      <c r="F953" s="1" t="str">
        <f t="shared" si="99"/>
        <v>Mar</v>
      </c>
      <c r="G953" s="6" t="s">
        <v>23</v>
      </c>
      <c r="H953" s="5">
        <v>4360.71</v>
      </c>
      <c r="I953" s="5" t="str">
        <f>IF(fin_table[[#This Row],[Account Balance]]&lt;20000,"Active", "Not Active")</f>
        <v>Not Active</v>
      </c>
      <c r="J953" s="5">
        <v>32952.559999999998</v>
      </c>
      <c r="K953" s="5" t="str">
        <f t="shared" si="100"/>
        <v>Medium</v>
      </c>
      <c r="L953" s="6" t="s">
        <v>49</v>
      </c>
      <c r="M953">
        <v>24</v>
      </c>
      <c r="N953" s="6" t="str">
        <f t="shared" si="101"/>
        <v>Young Adults</v>
      </c>
      <c r="O953" s="6" t="s">
        <v>42</v>
      </c>
      <c r="P953" s="6" t="s">
        <v>50</v>
      </c>
      <c r="Q953" t="s">
        <v>3187</v>
      </c>
      <c r="R953" s="6" t="s">
        <v>38</v>
      </c>
      <c r="S953" s="6" t="s">
        <v>29</v>
      </c>
      <c r="T953" s="14">
        <v>4.1500000000000002E-2</v>
      </c>
      <c r="U953">
        <v>4.1500000000000004</v>
      </c>
      <c r="V953" t="str">
        <f>IF(fin_table[[#This Row],[Interest Rate(%)]]&gt;4,"high","low")</f>
        <v>high</v>
      </c>
      <c r="W953" s="5">
        <v>10505.24</v>
      </c>
      <c r="X953" s="5">
        <f>fin_table[[#This Row],[Interest Rate]]*fin_table[[#This Row],[Loan Amount]]</f>
        <v>435.96746000000002</v>
      </c>
      <c r="Y953">
        <v>13</v>
      </c>
      <c r="Z953" s="3">
        <v>359</v>
      </c>
      <c r="AA953" s="3" t="str">
        <f t="shared" si="102"/>
        <v>Poor</v>
      </c>
      <c r="AB953" s="3" cm="1">
        <f t="array" ref="AB953">_xlfn.IFS(fin_table[[#This Row],[Transaction Status]]="Failed", 1, fin_table[[#This Row],[Transaction Status]]="Completed",0,fin_table[[#This Row],[Transaction Status]]="Pending",2)</f>
        <v>1</v>
      </c>
      <c r="AC953" s="3" t="str">
        <f>IF(fin_table[[#This Row],[Loan Defaulters]]=1,"Default", "Good")</f>
        <v>Default</v>
      </c>
      <c r="AD953" s="3">
        <f t="shared" si="103"/>
        <v>1</v>
      </c>
      <c r="AE953" s="4">
        <v>10744.43</v>
      </c>
      <c r="AF953" s="4" t="str">
        <f>IF(fin_table[[#This Row],[Monthly Income]]&lt;3000, "Low Income", IF(fin_table[[#This Row],[Monthly Income]]&lt;=5000, "Middle Income", "High Income"))</f>
        <v>High Income</v>
      </c>
      <c r="AG953" t="s">
        <v>30</v>
      </c>
      <c r="AH953" t="s">
        <v>3636</v>
      </c>
      <c r="AI953" t="str">
        <f t="shared" si="104"/>
        <v>Low-Risk</v>
      </c>
    </row>
    <row r="954" spans="1:35" x14ac:dyDescent="0.35">
      <c r="A954" t="s">
        <v>3436</v>
      </c>
      <c r="B954" t="s">
        <v>3437</v>
      </c>
      <c r="C954" t="s">
        <v>3438</v>
      </c>
      <c r="D954" s="1">
        <v>45104</v>
      </c>
      <c r="E954" s="1" t="str">
        <f t="shared" si="98"/>
        <v>27</v>
      </c>
      <c r="F954" s="1" t="str">
        <f t="shared" si="99"/>
        <v>Jun</v>
      </c>
      <c r="G954" s="6" t="s">
        <v>56</v>
      </c>
      <c r="H954" s="5">
        <v>6988.4</v>
      </c>
      <c r="I954" s="5" t="str">
        <f>IF(fin_table[[#This Row],[Account Balance]]&lt;20000,"Active", "Not Active")</f>
        <v>Not Active</v>
      </c>
      <c r="J954" s="5">
        <v>39265.050000000003</v>
      </c>
      <c r="K954" s="5" t="str">
        <f t="shared" si="100"/>
        <v>Medium</v>
      </c>
      <c r="L954" s="6" t="s">
        <v>100</v>
      </c>
      <c r="M954">
        <v>56</v>
      </c>
      <c r="N954" s="6" t="str">
        <f t="shared" si="101"/>
        <v>Older Adults</v>
      </c>
      <c r="O954" s="6" t="s">
        <v>42</v>
      </c>
      <c r="P954" s="6" t="s">
        <v>36</v>
      </c>
      <c r="Q954" t="s">
        <v>3439</v>
      </c>
      <c r="R954" s="6" t="s">
        <v>38</v>
      </c>
      <c r="S954" s="6" t="s">
        <v>44</v>
      </c>
      <c r="T954" s="14">
        <v>1.6400000000000001E-2</v>
      </c>
      <c r="U954">
        <v>1.64</v>
      </c>
      <c r="V954" t="str">
        <f>IF(fin_table[[#This Row],[Interest Rate(%)]]&gt;4,"high","low")</f>
        <v>low</v>
      </c>
      <c r="W954" s="5">
        <v>26681.654999999999</v>
      </c>
      <c r="X954" s="5">
        <f>fin_table[[#This Row],[Interest Rate]]*fin_table[[#This Row],[Loan Amount]]</f>
        <v>437.57914199999999</v>
      </c>
      <c r="Y954">
        <v>1</v>
      </c>
      <c r="Z954" s="3">
        <v>591</v>
      </c>
      <c r="AA954" s="3" t="str">
        <f t="shared" si="102"/>
        <v>Fair</v>
      </c>
      <c r="AB954" s="3" cm="1">
        <f t="array" ref="AB954">_xlfn.IFS(fin_table[[#This Row],[Transaction Status]]="Failed", 1, fin_table[[#This Row],[Transaction Status]]="Completed",0,fin_table[[#This Row],[Transaction Status]]="Pending",2)</f>
        <v>0</v>
      </c>
      <c r="AC954" s="3" t="str">
        <f>IF(fin_table[[#This Row],[Loan Defaulters]]=1,"Default", "Good")</f>
        <v>Good</v>
      </c>
      <c r="AD954" s="3">
        <f t="shared" si="103"/>
        <v>2</v>
      </c>
      <c r="AE954" s="4">
        <v>9652.99</v>
      </c>
      <c r="AF954" s="4" t="str">
        <f>IF(fin_table[[#This Row],[Monthly Income]]&lt;3000, "Low Income", IF(fin_table[[#This Row],[Monthly Income]]&lt;=5000, "Middle Income", "High Income"))</f>
        <v>High Income</v>
      </c>
      <c r="AG954" t="s">
        <v>30</v>
      </c>
      <c r="AH954" t="s">
        <v>3635</v>
      </c>
      <c r="AI954" t="str">
        <f t="shared" si="104"/>
        <v>Low-Risk</v>
      </c>
    </row>
    <row r="955" spans="1:35" x14ac:dyDescent="0.35">
      <c r="A955" t="s">
        <v>3440</v>
      </c>
      <c r="B955" t="s">
        <v>128</v>
      </c>
      <c r="C955" t="s">
        <v>3441</v>
      </c>
      <c r="D955" s="1">
        <v>44674</v>
      </c>
      <c r="E955" s="1" t="str">
        <f t="shared" si="98"/>
        <v>23</v>
      </c>
      <c r="F955" s="1" t="str">
        <f t="shared" si="99"/>
        <v>Apr</v>
      </c>
      <c r="G955" s="6" t="s">
        <v>34</v>
      </c>
      <c r="H955" s="5">
        <v>4634.42</v>
      </c>
      <c r="I955" s="5" t="str">
        <f>IF(fin_table[[#This Row],[Account Balance]]&lt;20000,"Active", "Not Active")</f>
        <v>Not Active</v>
      </c>
      <c r="J955" s="5">
        <v>39781.71</v>
      </c>
      <c r="K955" s="5" t="str">
        <f t="shared" si="100"/>
        <v>Medium</v>
      </c>
      <c r="L955" s="6" t="s">
        <v>125</v>
      </c>
      <c r="M955">
        <v>34</v>
      </c>
      <c r="N955" s="6" t="str">
        <f t="shared" si="101"/>
        <v>Adults</v>
      </c>
      <c r="O955" s="6" t="s">
        <v>42</v>
      </c>
      <c r="P955" s="6" t="s">
        <v>36</v>
      </c>
      <c r="Q955" t="s">
        <v>1947</v>
      </c>
      <c r="R955" s="6" t="s">
        <v>38</v>
      </c>
      <c r="S955" s="6" t="s">
        <v>44</v>
      </c>
      <c r="T955" s="14">
        <v>1.18E-2</v>
      </c>
      <c r="U955">
        <v>1.18</v>
      </c>
      <c r="V955" t="str">
        <f>IF(fin_table[[#This Row],[Interest Rate(%)]]&gt;4,"high","low")</f>
        <v>low</v>
      </c>
      <c r="W955" s="5">
        <v>26681.654999999999</v>
      </c>
      <c r="X955" s="5">
        <f>fin_table[[#This Row],[Interest Rate]]*fin_table[[#This Row],[Loan Amount]]</f>
        <v>314.84352899999999</v>
      </c>
      <c r="Y955">
        <v>19</v>
      </c>
      <c r="Z955" s="3">
        <v>490</v>
      </c>
      <c r="AA955" s="3" t="str">
        <f t="shared" si="102"/>
        <v>Poor</v>
      </c>
      <c r="AB955" s="3" cm="1">
        <f t="array" ref="AB955">_xlfn.IFS(fin_table[[#This Row],[Transaction Status]]="Failed", 1, fin_table[[#This Row],[Transaction Status]]="Completed",0,fin_table[[#This Row],[Transaction Status]]="Pending",2)</f>
        <v>0</v>
      </c>
      <c r="AC955" s="3" t="str">
        <f>IF(fin_table[[#This Row],[Loan Defaulters]]=1,"Default", "Good")</f>
        <v>Good</v>
      </c>
      <c r="AD955" s="3">
        <f t="shared" si="103"/>
        <v>1</v>
      </c>
      <c r="AE955" s="4">
        <v>4905.4799999999996</v>
      </c>
      <c r="AF955" s="4" t="str">
        <f>IF(fin_table[[#This Row],[Monthly Income]]&lt;3000, "Low Income", IF(fin_table[[#This Row],[Monthly Income]]&lt;=5000, "Middle Income", "High Income"))</f>
        <v>Middle Income</v>
      </c>
      <c r="AG955" t="s">
        <v>30</v>
      </c>
      <c r="AH955" t="s">
        <v>3635</v>
      </c>
      <c r="AI955" t="str">
        <f t="shared" si="104"/>
        <v>Low-Risk</v>
      </c>
    </row>
    <row r="956" spans="1:35" x14ac:dyDescent="0.35">
      <c r="A956" t="s">
        <v>3442</v>
      </c>
      <c r="B956" t="s">
        <v>3443</v>
      </c>
      <c r="C956" t="s">
        <v>3444</v>
      </c>
      <c r="D956" s="1">
        <v>44662</v>
      </c>
      <c r="E956" s="1" t="str">
        <f t="shared" si="98"/>
        <v>11</v>
      </c>
      <c r="F956" s="1" t="str">
        <f t="shared" si="99"/>
        <v>Apr</v>
      </c>
      <c r="G956" s="6" t="s">
        <v>56</v>
      </c>
      <c r="H956" s="5">
        <v>1011.74</v>
      </c>
      <c r="I956" s="5" t="str">
        <f>IF(fin_table[[#This Row],[Account Balance]]&lt;20000,"Active", "Not Active")</f>
        <v>Not Active</v>
      </c>
      <c r="J956" s="5">
        <v>30521.02</v>
      </c>
      <c r="K956" s="5" t="str">
        <f t="shared" si="100"/>
        <v>Medium</v>
      </c>
      <c r="L956" s="6" t="s">
        <v>49</v>
      </c>
      <c r="M956">
        <v>62</v>
      </c>
      <c r="N956" s="6" t="str">
        <f t="shared" si="101"/>
        <v>Seniors</v>
      </c>
      <c r="O956" s="6" t="s">
        <v>25</v>
      </c>
      <c r="P956" s="6" t="s">
        <v>36</v>
      </c>
      <c r="Q956" t="s">
        <v>469</v>
      </c>
      <c r="R956" s="6" t="s">
        <v>52</v>
      </c>
      <c r="S956" s="6" t="s">
        <v>44</v>
      </c>
      <c r="T956" s="14">
        <v>2.58E-2</v>
      </c>
      <c r="U956">
        <v>2.58</v>
      </c>
      <c r="V956" t="str">
        <f>IF(fin_table[[#This Row],[Interest Rate(%)]]&gt;4,"high","low")</f>
        <v>low</v>
      </c>
      <c r="W956" s="5">
        <v>19002.509999999998</v>
      </c>
      <c r="X956" s="5">
        <f>fin_table[[#This Row],[Interest Rate]]*fin_table[[#This Row],[Loan Amount]]</f>
        <v>490.26475799999997</v>
      </c>
      <c r="Y956">
        <v>7</v>
      </c>
      <c r="Z956" s="3">
        <v>760</v>
      </c>
      <c r="AA956" s="3" t="str">
        <f t="shared" si="102"/>
        <v>Very Good</v>
      </c>
      <c r="AB956" s="3" cm="1">
        <f t="array" ref="AB956">_xlfn.IFS(fin_table[[#This Row],[Transaction Status]]="Failed", 1, fin_table[[#This Row],[Transaction Status]]="Completed",0,fin_table[[#This Row],[Transaction Status]]="Pending",2)</f>
        <v>0</v>
      </c>
      <c r="AC956" s="3" t="str">
        <f>IF(fin_table[[#This Row],[Loan Defaulters]]=1,"Default", "Good")</f>
        <v>Good</v>
      </c>
      <c r="AD956" s="3">
        <f t="shared" si="103"/>
        <v>4</v>
      </c>
      <c r="AE956" s="4">
        <v>13013.72</v>
      </c>
      <c r="AF956" s="4" t="str">
        <f>IF(fin_table[[#This Row],[Monthly Income]]&lt;3000, "Low Income", IF(fin_table[[#This Row],[Monthly Income]]&lt;=5000, "Middle Income", "High Income"))</f>
        <v>High Income</v>
      </c>
      <c r="AG956" t="s">
        <v>63</v>
      </c>
      <c r="AH956" t="s">
        <v>3636</v>
      </c>
      <c r="AI956" t="str">
        <f t="shared" si="104"/>
        <v>Low-Risk</v>
      </c>
    </row>
    <row r="957" spans="1:35" x14ac:dyDescent="0.35">
      <c r="A957" t="s">
        <v>3445</v>
      </c>
      <c r="B957" t="s">
        <v>3446</v>
      </c>
      <c r="C957" t="s">
        <v>3447</v>
      </c>
      <c r="D957" s="1">
        <v>44737</v>
      </c>
      <c r="E957" s="1" t="str">
        <f t="shared" si="98"/>
        <v>25</v>
      </c>
      <c r="F957" s="1" t="str">
        <f t="shared" si="99"/>
        <v>Jun</v>
      </c>
      <c r="G957" s="6" t="s">
        <v>23</v>
      </c>
      <c r="H957" s="5">
        <v>5578.45</v>
      </c>
      <c r="I957" s="5" t="str">
        <f>IF(fin_table[[#This Row],[Account Balance]]&lt;20000,"Active", "Not Active")</f>
        <v>Not Active</v>
      </c>
      <c r="J957" s="5">
        <v>26070.29</v>
      </c>
      <c r="K957" s="5" t="str">
        <f t="shared" si="100"/>
        <v>Medium</v>
      </c>
      <c r="L957" s="6" t="s">
        <v>100</v>
      </c>
      <c r="M957">
        <v>28</v>
      </c>
      <c r="N957" s="6" t="str">
        <f t="shared" si="101"/>
        <v>Adults</v>
      </c>
      <c r="O957" s="6" t="s">
        <v>42</v>
      </c>
      <c r="P957" s="6" t="s">
        <v>50</v>
      </c>
      <c r="Q957" t="s">
        <v>3448</v>
      </c>
      <c r="R957" s="6" t="s">
        <v>28</v>
      </c>
      <c r="S957" s="6" t="s">
        <v>29</v>
      </c>
      <c r="T957" s="14">
        <v>2.6700000000000002E-2</v>
      </c>
      <c r="U957">
        <v>2.67</v>
      </c>
      <c r="V957" t="str">
        <f>IF(fin_table[[#This Row],[Interest Rate(%)]]&gt;4,"high","low")</f>
        <v>low</v>
      </c>
      <c r="W957" s="5">
        <v>27066.11</v>
      </c>
      <c r="X957" s="5">
        <f>fin_table[[#This Row],[Interest Rate]]*fin_table[[#This Row],[Loan Amount]]</f>
        <v>722.66513700000007</v>
      </c>
      <c r="Y957">
        <v>24</v>
      </c>
      <c r="Z957" s="3">
        <v>532</v>
      </c>
      <c r="AA957" s="3" t="str">
        <f t="shared" si="102"/>
        <v>Poor</v>
      </c>
      <c r="AB957" s="3" cm="1">
        <f t="array" ref="AB957">_xlfn.IFS(fin_table[[#This Row],[Transaction Status]]="Failed", 1, fin_table[[#This Row],[Transaction Status]]="Completed",0,fin_table[[#This Row],[Transaction Status]]="Pending",2)</f>
        <v>1</v>
      </c>
      <c r="AC957" s="3" t="str">
        <f>IF(fin_table[[#This Row],[Loan Defaulters]]=1,"Default", "Good")</f>
        <v>Default</v>
      </c>
      <c r="AD957" s="3">
        <f t="shared" si="103"/>
        <v>1</v>
      </c>
      <c r="AE957" s="4">
        <v>8395.2199999999993</v>
      </c>
      <c r="AF957" s="4" t="str">
        <f>IF(fin_table[[#This Row],[Monthly Income]]&lt;3000, "Low Income", IF(fin_table[[#This Row],[Monthly Income]]&lt;=5000, "Middle Income", "High Income"))</f>
        <v>High Income</v>
      </c>
      <c r="AG957" t="s">
        <v>63</v>
      </c>
      <c r="AH957" t="s">
        <v>3636</v>
      </c>
      <c r="AI957" t="str">
        <f t="shared" si="104"/>
        <v>Low-Risk</v>
      </c>
    </row>
    <row r="958" spans="1:35" x14ac:dyDescent="0.35">
      <c r="A958" t="s">
        <v>3449</v>
      </c>
      <c r="B958" t="s">
        <v>3450</v>
      </c>
      <c r="C958" t="s">
        <v>3451</v>
      </c>
      <c r="D958" s="1">
        <v>44686</v>
      </c>
      <c r="E958" s="1" t="str">
        <f t="shared" si="98"/>
        <v>05</v>
      </c>
      <c r="F958" s="1" t="str">
        <f t="shared" si="99"/>
        <v>May</v>
      </c>
      <c r="G958" s="6" t="s">
        <v>56</v>
      </c>
      <c r="H958" s="5">
        <v>6452.16</v>
      </c>
      <c r="I958" s="5" t="str">
        <f>IF(fin_table[[#This Row],[Account Balance]]&lt;20000,"Active", "Not Active")</f>
        <v>Active</v>
      </c>
      <c r="J958" s="5">
        <v>3989.35</v>
      </c>
      <c r="K958" s="5" t="str">
        <f t="shared" si="100"/>
        <v>Low</v>
      </c>
      <c r="L958" s="6" t="s">
        <v>35</v>
      </c>
      <c r="M958">
        <v>23</v>
      </c>
      <c r="N958" s="6" t="str">
        <f t="shared" si="101"/>
        <v>Young Adults</v>
      </c>
      <c r="O958" s="6" t="s">
        <v>42</v>
      </c>
      <c r="P958" s="6" t="s">
        <v>50</v>
      </c>
      <c r="Q958" t="s">
        <v>3452</v>
      </c>
      <c r="R958" s="6" t="s">
        <v>38</v>
      </c>
      <c r="S958" s="6" t="s">
        <v>29</v>
      </c>
      <c r="T958" s="14">
        <v>2.8000000000000001E-2</v>
      </c>
      <c r="U958">
        <v>2.8000000000000001E-2</v>
      </c>
      <c r="V958" t="str">
        <f>IF(fin_table[[#This Row],[Interest Rate(%)]]&gt;4,"high","low")</f>
        <v>low</v>
      </c>
      <c r="W958" s="5">
        <v>39773.49</v>
      </c>
      <c r="X958" s="5">
        <f>fin_table[[#This Row],[Interest Rate]]*fin_table[[#This Row],[Loan Amount]]</f>
        <v>1113.6577199999999</v>
      </c>
      <c r="Y958">
        <v>13</v>
      </c>
      <c r="Z958" s="3">
        <v>773</v>
      </c>
      <c r="AA958" s="3" t="str">
        <f t="shared" si="102"/>
        <v>Very Good</v>
      </c>
      <c r="AB958" s="3" cm="1">
        <f t="array" ref="AB958">_xlfn.IFS(fin_table[[#This Row],[Transaction Status]]="Failed", 1, fin_table[[#This Row],[Transaction Status]]="Completed",0,fin_table[[#This Row],[Transaction Status]]="Pending",2)</f>
        <v>1</v>
      </c>
      <c r="AC958" s="3" t="str">
        <f>IF(fin_table[[#This Row],[Loan Defaulters]]=1,"Default", "Good")</f>
        <v>Default</v>
      </c>
      <c r="AD958" s="3">
        <f t="shared" si="103"/>
        <v>4</v>
      </c>
      <c r="AE958" s="4">
        <v>12692.97</v>
      </c>
      <c r="AF958" s="4" t="str">
        <f>IF(fin_table[[#This Row],[Monthly Income]]&lt;3000, "Low Income", IF(fin_table[[#This Row],[Monthly Income]]&lt;=5000, "Middle Income", "High Income"))</f>
        <v>High Income</v>
      </c>
      <c r="AG958" t="s">
        <v>63</v>
      </c>
      <c r="AH958" t="s">
        <v>3636</v>
      </c>
      <c r="AI958" t="str">
        <f t="shared" si="104"/>
        <v>Low-Risk</v>
      </c>
    </row>
    <row r="959" spans="1:35" x14ac:dyDescent="0.35">
      <c r="A959" t="s">
        <v>3453</v>
      </c>
      <c r="B959" t="s">
        <v>3454</v>
      </c>
      <c r="C959" t="s">
        <v>3455</v>
      </c>
      <c r="D959" s="1">
        <v>44565</v>
      </c>
      <c r="E959" s="1" t="str">
        <f t="shared" si="98"/>
        <v>04</v>
      </c>
      <c r="F959" s="1" t="str">
        <f t="shared" si="99"/>
        <v>Jan</v>
      </c>
      <c r="G959" s="6" t="s">
        <v>71</v>
      </c>
      <c r="H959" s="5">
        <v>7067.54</v>
      </c>
      <c r="I959" s="5" t="str">
        <f>IF(fin_table[[#This Row],[Account Balance]]&lt;20000,"Active", "Not Active")</f>
        <v>Active</v>
      </c>
      <c r="J959" s="5">
        <v>15103.73</v>
      </c>
      <c r="K959" s="5" t="str">
        <f t="shared" si="100"/>
        <v>Medium</v>
      </c>
      <c r="L959" s="6" t="s">
        <v>125</v>
      </c>
      <c r="M959">
        <v>40</v>
      </c>
      <c r="N959" s="6" t="str">
        <f t="shared" si="101"/>
        <v>Middle-Aged</v>
      </c>
      <c r="O959" s="6" t="s">
        <v>42</v>
      </c>
      <c r="P959" s="6" t="s">
        <v>26</v>
      </c>
      <c r="Q959" t="s">
        <v>3456</v>
      </c>
      <c r="R959" s="6" t="s">
        <v>38</v>
      </c>
      <c r="S959" s="6" t="s">
        <v>29</v>
      </c>
      <c r="T959" s="14">
        <v>4.3099999999999999E-2</v>
      </c>
      <c r="U959">
        <v>4.3099999999999996</v>
      </c>
      <c r="V959" t="str">
        <f>IF(fin_table[[#This Row],[Interest Rate(%)]]&gt;4,"high","low")</f>
        <v>high</v>
      </c>
      <c r="W959" s="5">
        <v>12577.34</v>
      </c>
      <c r="X959" s="5">
        <f>fin_table[[#This Row],[Interest Rate]]*fin_table[[#This Row],[Loan Amount]]</f>
        <v>542.08335399999999</v>
      </c>
      <c r="Y959">
        <v>13</v>
      </c>
      <c r="Z959" s="3">
        <v>704</v>
      </c>
      <c r="AA959" s="3" t="str">
        <f t="shared" si="102"/>
        <v>Good</v>
      </c>
      <c r="AB959" s="3" cm="1">
        <f t="array" ref="AB959">_xlfn.IFS(fin_table[[#This Row],[Transaction Status]]="Failed", 1, fin_table[[#This Row],[Transaction Status]]="Completed",0,fin_table[[#This Row],[Transaction Status]]="Pending",2)</f>
        <v>1</v>
      </c>
      <c r="AC959" s="3" t="str">
        <f>IF(fin_table[[#This Row],[Loan Defaulters]]=1,"Default", "Good")</f>
        <v>Default</v>
      </c>
      <c r="AD959" s="3">
        <f t="shared" si="103"/>
        <v>3</v>
      </c>
      <c r="AE959" s="4">
        <v>7278.16</v>
      </c>
      <c r="AF959" s="4" t="str">
        <f>IF(fin_table[[#This Row],[Monthly Income]]&lt;3000, "Low Income", IF(fin_table[[#This Row],[Monthly Income]]&lt;=5000, "Middle Income", "High Income"))</f>
        <v>High Income</v>
      </c>
      <c r="AG959" t="s">
        <v>63</v>
      </c>
      <c r="AH959" t="s">
        <v>3636</v>
      </c>
      <c r="AI959" t="str">
        <f t="shared" si="104"/>
        <v>Low-Risk</v>
      </c>
    </row>
    <row r="960" spans="1:35" x14ac:dyDescent="0.35">
      <c r="A960" t="s">
        <v>3457</v>
      </c>
      <c r="B960" t="s">
        <v>3458</v>
      </c>
      <c r="C960" t="s">
        <v>3459</v>
      </c>
      <c r="D960" s="1">
        <v>44866</v>
      </c>
      <c r="E960" s="1" t="str">
        <f t="shared" si="98"/>
        <v>01</v>
      </c>
      <c r="F960" s="1" t="str">
        <f t="shared" si="99"/>
        <v>Nov</v>
      </c>
      <c r="G960" s="6" t="s">
        <v>56</v>
      </c>
      <c r="H960" s="5">
        <v>3795.27</v>
      </c>
      <c r="I960" s="5" t="str">
        <f>IF(fin_table[[#This Row],[Account Balance]]&lt;20000,"Active", "Not Active")</f>
        <v>Active</v>
      </c>
      <c r="J960" s="5">
        <v>5570.3</v>
      </c>
      <c r="K960" s="5" t="str">
        <f t="shared" si="100"/>
        <v>Low</v>
      </c>
      <c r="L960" s="6" t="s">
        <v>35</v>
      </c>
      <c r="M960">
        <v>44</v>
      </c>
      <c r="N960" s="6" t="str">
        <f t="shared" si="101"/>
        <v>Middle-Aged</v>
      </c>
      <c r="O960" s="6" t="s">
        <v>42</v>
      </c>
      <c r="P960" s="6" t="s">
        <v>26</v>
      </c>
      <c r="Q960" t="s">
        <v>1778</v>
      </c>
      <c r="R960" s="6" t="s">
        <v>52</v>
      </c>
      <c r="S960" s="6" t="s">
        <v>44</v>
      </c>
      <c r="T960" s="14">
        <v>1.3899999999999999E-2</v>
      </c>
      <c r="U960">
        <v>1.39</v>
      </c>
      <c r="V960" t="str">
        <f>IF(fin_table[[#This Row],[Interest Rate(%)]]&gt;4,"high","low")</f>
        <v>low</v>
      </c>
      <c r="W960" s="5">
        <v>39537.31</v>
      </c>
      <c r="X960" s="5">
        <f>fin_table[[#This Row],[Interest Rate]]*fin_table[[#This Row],[Loan Amount]]</f>
        <v>549.56860899999992</v>
      </c>
      <c r="Y960">
        <v>20</v>
      </c>
      <c r="Z960" s="3">
        <v>570</v>
      </c>
      <c r="AA960" s="3" t="str">
        <f t="shared" si="102"/>
        <v>Poor</v>
      </c>
      <c r="AB960" s="3" cm="1">
        <f t="array" ref="AB960">_xlfn.IFS(fin_table[[#This Row],[Transaction Status]]="Failed", 1, fin_table[[#This Row],[Transaction Status]]="Completed",0,fin_table[[#This Row],[Transaction Status]]="Pending",2)</f>
        <v>0</v>
      </c>
      <c r="AC960" s="3" t="str">
        <f>IF(fin_table[[#This Row],[Loan Defaulters]]=1,"Default", "Good")</f>
        <v>Good</v>
      </c>
      <c r="AD960" s="3">
        <f t="shared" si="103"/>
        <v>1</v>
      </c>
      <c r="AE960" s="4">
        <v>14800.91</v>
      </c>
      <c r="AF960" s="4" t="str">
        <f>IF(fin_table[[#This Row],[Monthly Income]]&lt;3000, "Low Income", IF(fin_table[[#This Row],[Monthly Income]]&lt;=5000, "Middle Income", "High Income"))</f>
        <v>High Income</v>
      </c>
      <c r="AG960" t="s">
        <v>30</v>
      </c>
      <c r="AH960" t="s">
        <v>3636</v>
      </c>
      <c r="AI960" t="str">
        <f t="shared" si="104"/>
        <v>High-Risk</v>
      </c>
    </row>
    <row r="961" spans="1:35" x14ac:dyDescent="0.35">
      <c r="A961" t="s">
        <v>3460</v>
      </c>
      <c r="B961" t="s">
        <v>3461</v>
      </c>
      <c r="C961" t="s">
        <v>3462</v>
      </c>
      <c r="D961" s="1">
        <v>44985</v>
      </c>
      <c r="E961" s="1" t="str">
        <f t="shared" si="98"/>
        <v>28</v>
      </c>
      <c r="F961" s="1" t="str">
        <f t="shared" si="99"/>
        <v>Feb</v>
      </c>
      <c r="G961" s="6" t="s">
        <v>34</v>
      </c>
      <c r="H961" s="5">
        <v>5680.23</v>
      </c>
      <c r="I961" s="5" t="str">
        <f>IF(fin_table[[#This Row],[Account Balance]]&lt;20000,"Active", "Not Active")</f>
        <v>Not Active</v>
      </c>
      <c r="J961" s="5">
        <v>48227.33</v>
      </c>
      <c r="K961" s="5" t="str">
        <f t="shared" si="100"/>
        <v>Medium</v>
      </c>
      <c r="L961" s="6" t="s">
        <v>100</v>
      </c>
      <c r="M961">
        <v>63</v>
      </c>
      <c r="N961" s="6" t="str">
        <f t="shared" si="101"/>
        <v>Seniors</v>
      </c>
      <c r="O961" s="6" t="s">
        <v>42</v>
      </c>
      <c r="P961" s="6" t="s">
        <v>26</v>
      </c>
      <c r="Q961" t="s">
        <v>2105</v>
      </c>
      <c r="R961" s="6" t="s">
        <v>28</v>
      </c>
      <c r="S961" s="6" t="s">
        <v>62</v>
      </c>
      <c r="T961" s="14">
        <v>3.8199999999999998E-2</v>
      </c>
      <c r="U961">
        <v>3.82</v>
      </c>
      <c r="V961" t="str">
        <f>IF(fin_table[[#This Row],[Interest Rate(%)]]&gt;4,"high","low")</f>
        <v>low</v>
      </c>
      <c r="W961" s="5">
        <v>38725.11</v>
      </c>
      <c r="X961" s="5">
        <f>fin_table[[#This Row],[Interest Rate]]*fin_table[[#This Row],[Loan Amount]]</f>
        <v>1479.2992019999999</v>
      </c>
      <c r="Y961">
        <v>11</v>
      </c>
      <c r="Z961" s="3">
        <v>433</v>
      </c>
      <c r="AA961" s="3" t="str">
        <f t="shared" si="102"/>
        <v>Poor</v>
      </c>
      <c r="AB961" s="3" cm="1">
        <f t="array" ref="AB961">_xlfn.IFS(fin_table[[#This Row],[Transaction Status]]="Failed", 1, fin_table[[#This Row],[Transaction Status]]="Completed",0,fin_table[[#This Row],[Transaction Status]]="Pending",2)</f>
        <v>2</v>
      </c>
      <c r="AC961" s="3" t="str">
        <f>IF(fin_table[[#This Row],[Loan Defaulters]]=1,"Default", "Good")</f>
        <v>Good</v>
      </c>
      <c r="AD961" s="3">
        <f t="shared" si="103"/>
        <v>1</v>
      </c>
      <c r="AE961" s="4">
        <v>12016.36</v>
      </c>
      <c r="AF961" s="4" t="str">
        <f>IF(fin_table[[#This Row],[Monthly Income]]&lt;3000, "Low Income", IF(fin_table[[#This Row],[Monthly Income]]&lt;=5000, "Middle Income", "High Income"))</f>
        <v>High Income</v>
      </c>
      <c r="AG961" t="s">
        <v>30</v>
      </c>
      <c r="AH961" t="s">
        <v>3636</v>
      </c>
      <c r="AI961" t="str">
        <f t="shared" si="104"/>
        <v>High-Risk</v>
      </c>
    </row>
    <row r="962" spans="1:35" x14ac:dyDescent="0.35">
      <c r="A962" t="s">
        <v>3463</v>
      </c>
      <c r="B962" t="s">
        <v>3464</v>
      </c>
      <c r="C962" t="s">
        <v>3465</v>
      </c>
      <c r="D962" s="1">
        <v>44659</v>
      </c>
      <c r="E962" s="1" t="str">
        <f t="shared" ref="E962:E1001" si="105">TEXT(D962, "DD")</f>
        <v>08</v>
      </c>
      <c r="F962" s="1" t="str">
        <f t="shared" ref="F962:F1001" si="106">TEXT(D962, "MMM")</f>
        <v>Apr</v>
      </c>
      <c r="G962" s="6" t="s">
        <v>56</v>
      </c>
      <c r="H962" s="5">
        <v>4561.8</v>
      </c>
      <c r="I962" s="5" t="str">
        <f>IF(fin_table[[#This Row],[Account Balance]]&lt;20000,"Active", "Not Active")</f>
        <v>Active</v>
      </c>
      <c r="J962" s="5">
        <v>7618.93</v>
      </c>
      <c r="K962" s="5" t="str">
        <f t="shared" ref="K962:K1001" si="107">IF(J962&lt;10000, "Low", IF(J962&lt;50000, "Medium", "High"))</f>
        <v>Low</v>
      </c>
      <c r="L962" s="6" t="s">
        <v>35</v>
      </c>
      <c r="M962">
        <v>23</v>
      </c>
      <c r="N962" s="6" t="str">
        <f t="shared" ref="N962:N1001" si="108">IF(M962&lt;18, "Teenagers", IF(M962&lt;=25, "Young Adults", IF(M962&lt;=35, "Adults", IF(M962&lt;=45, "Middle-Aged", IF(M962&lt;=60, "Older Adults", "Seniors")))))</f>
        <v>Young Adults</v>
      </c>
      <c r="O962" s="6" t="s">
        <v>42</v>
      </c>
      <c r="P962" s="6" t="s">
        <v>26</v>
      </c>
      <c r="Q962" t="s">
        <v>1097</v>
      </c>
      <c r="R962" s="6" t="s">
        <v>52</v>
      </c>
      <c r="S962" s="6" t="s">
        <v>44</v>
      </c>
      <c r="T962" s="14">
        <v>2.35E-2</v>
      </c>
      <c r="U962">
        <v>2.35</v>
      </c>
      <c r="V962" t="str">
        <f>IF(fin_table[[#This Row],[Interest Rate(%)]]&gt;4,"high","low")</f>
        <v>low</v>
      </c>
      <c r="W962" s="5">
        <v>26681.654999999999</v>
      </c>
      <c r="X962" s="5">
        <f>fin_table[[#This Row],[Interest Rate]]*fin_table[[#This Row],[Loan Amount]]</f>
        <v>627.01889249999999</v>
      </c>
      <c r="Y962">
        <v>5</v>
      </c>
      <c r="Z962" s="3">
        <v>470</v>
      </c>
      <c r="AA962" s="3" t="str">
        <f t="shared" ref="AA962:AA1001" si="109">IF(Z962&lt;580, "Poor", IF(Z962&lt;670, "Fair", IF(Z962&lt;740, "Good", IF(Z962&lt;800, "Very Good", "Excellent"))))</f>
        <v>Poor</v>
      </c>
      <c r="AB962" s="3" cm="1">
        <f t="array" ref="AB962">_xlfn.IFS(fin_table[[#This Row],[Transaction Status]]="Failed", 1, fin_table[[#This Row],[Transaction Status]]="Completed",0,fin_table[[#This Row],[Transaction Status]]="Pending",2)</f>
        <v>0</v>
      </c>
      <c r="AC962" s="3" t="str">
        <f>IF(fin_table[[#This Row],[Loan Defaulters]]=1,"Default", "Good")</f>
        <v>Good</v>
      </c>
      <c r="AD962" s="3">
        <f t="shared" ref="AD962:AD1001" si="110">IF(AA962="Poor", 1, IF(AA962="Fair", 2, IF(AA962="Good", 3, IF(AA962="Very Good", 4, IF(AA962="Excellent", 5, "")))))</f>
        <v>1</v>
      </c>
      <c r="AE962" s="4">
        <v>14557.35</v>
      </c>
      <c r="AF962" s="4" t="str">
        <f>IF(fin_table[[#This Row],[Monthly Income]]&lt;3000, "Low Income", IF(fin_table[[#This Row],[Monthly Income]]&lt;=5000, "Middle Income", "High Income"))</f>
        <v>High Income</v>
      </c>
      <c r="AG962" t="s">
        <v>45</v>
      </c>
      <c r="AH962" t="s">
        <v>3635</v>
      </c>
      <c r="AI962" t="str">
        <f t="shared" ref="AI962:AI1001" si="111">IF(AND(W962&gt;33000, Z962&lt;600), "High-Risk", "Low-Risk")</f>
        <v>Low-Risk</v>
      </c>
    </row>
    <row r="963" spans="1:35" x14ac:dyDescent="0.35">
      <c r="A963" t="s">
        <v>3466</v>
      </c>
      <c r="B963" t="s">
        <v>3467</v>
      </c>
      <c r="C963" t="s">
        <v>3468</v>
      </c>
      <c r="D963" s="1">
        <v>44679</v>
      </c>
      <c r="E963" s="1" t="str">
        <f t="shared" si="105"/>
        <v>28</v>
      </c>
      <c r="F963" s="1" t="str">
        <f t="shared" si="106"/>
        <v>Apr</v>
      </c>
      <c r="G963" s="6" t="s">
        <v>56</v>
      </c>
      <c r="H963" s="5">
        <v>6753.35</v>
      </c>
      <c r="I963" s="5" t="str">
        <f>IF(fin_table[[#This Row],[Account Balance]]&lt;20000,"Active", "Not Active")</f>
        <v>Active</v>
      </c>
      <c r="J963" s="5">
        <v>8437</v>
      </c>
      <c r="K963" s="5" t="str">
        <f t="shared" si="107"/>
        <v>Low</v>
      </c>
      <c r="L963" s="6" t="s">
        <v>100</v>
      </c>
      <c r="M963">
        <v>55</v>
      </c>
      <c r="N963" s="6" t="str">
        <f t="shared" si="108"/>
        <v>Older Adults</v>
      </c>
      <c r="O963" s="6" t="s">
        <v>42</v>
      </c>
      <c r="P963" s="6" t="s">
        <v>26</v>
      </c>
      <c r="Q963" t="s">
        <v>72</v>
      </c>
      <c r="R963" s="6" t="s">
        <v>38</v>
      </c>
      <c r="S963" s="6" t="s">
        <v>44</v>
      </c>
      <c r="T963" s="14">
        <v>2.24E-2</v>
      </c>
      <c r="U963">
        <v>2.2400000000000002</v>
      </c>
      <c r="V963" t="str">
        <f>IF(fin_table[[#This Row],[Interest Rate(%)]]&gt;4,"high","low")</f>
        <v>low</v>
      </c>
      <c r="W963" s="5">
        <v>26681.654999999999</v>
      </c>
      <c r="X963" s="5">
        <f>fin_table[[#This Row],[Interest Rate]]*fin_table[[#This Row],[Loan Amount]]</f>
        <v>597.66907199999991</v>
      </c>
      <c r="Y963">
        <v>13</v>
      </c>
      <c r="Z963" s="3">
        <v>714</v>
      </c>
      <c r="AA963" s="3" t="str">
        <f t="shared" si="109"/>
        <v>Good</v>
      </c>
      <c r="AB963" s="3" cm="1">
        <f t="array" ref="AB963">_xlfn.IFS(fin_table[[#This Row],[Transaction Status]]="Failed", 1, fin_table[[#This Row],[Transaction Status]]="Completed",0,fin_table[[#This Row],[Transaction Status]]="Pending",2)</f>
        <v>0</v>
      </c>
      <c r="AC963" s="3" t="str">
        <f>IF(fin_table[[#This Row],[Loan Defaulters]]=1,"Default", "Good")</f>
        <v>Good</v>
      </c>
      <c r="AD963" s="3">
        <f t="shared" si="110"/>
        <v>3</v>
      </c>
      <c r="AE963" s="4">
        <v>8686.24</v>
      </c>
      <c r="AF963" s="4" t="str">
        <f>IF(fin_table[[#This Row],[Monthly Income]]&lt;3000, "Low Income", IF(fin_table[[#This Row],[Monthly Income]]&lt;=5000, "Middle Income", "High Income"))</f>
        <v>High Income</v>
      </c>
      <c r="AG963" t="s">
        <v>45</v>
      </c>
      <c r="AH963" t="s">
        <v>3635</v>
      </c>
      <c r="AI963" t="str">
        <f t="shared" si="111"/>
        <v>Low-Risk</v>
      </c>
    </row>
    <row r="964" spans="1:35" x14ac:dyDescent="0.35">
      <c r="A964" t="s">
        <v>3469</v>
      </c>
      <c r="B964" t="s">
        <v>3470</v>
      </c>
      <c r="C964" t="s">
        <v>3471</v>
      </c>
      <c r="D964" s="1">
        <v>44614</v>
      </c>
      <c r="E964" s="1" t="str">
        <f t="shared" si="105"/>
        <v>22</v>
      </c>
      <c r="F964" s="1" t="str">
        <f t="shared" si="106"/>
        <v>Feb</v>
      </c>
      <c r="G964" s="6" t="s">
        <v>71</v>
      </c>
      <c r="H964" s="5">
        <v>5877.21</v>
      </c>
      <c r="I964" s="5" t="str">
        <f>IF(fin_table[[#This Row],[Account Balance]]&lt;20000,"Active", "Not Active")</f>
        <v>Not Active</v>
      </c>
      <c r="J964" s="5">
        <v>44589.25</v>
      </c>
      <c r="K964" s="5" t="str">
        <f t="shared" si="107"/>
        <v>Medium</v>
      </c>
      <c r="L964" s="6" t="s">
        <v>100</v>
      </c>
      <c r="M964">
        <v>19</v>
      </c>
      <c r="N964" s="6" t="str">
        <f t="shared" si="108"/>
        <v>Young Adults</v>
      </c>
      <c r="O964" s="6" t="s">
        <v>42</v>
      </c>
      <c r="P964" s="6" t="s">
        <v>50</v>
      </c>
      <c r="Q964" t="s">
        <v>3472</v>
      </c>
      <c r="R964" s="6" t="s">
        <v>52</v>
      </c>
      <c r="S964" s="6" t="s">
        <v>29</v>
      </c>
      <c r="T964" s="14">
        <v>4.7300000000000002E-2</v>
      </c>
      <c r="U964">
        <v>4.7300000000000004</v>
      </c>
      <c r="V964" t="str">
        <f>IF(fin_table[[#This Row],[Interest Rate(%)]]&gt;4,"high","low")</f>
        <v>high</v>
      </c>
      <c r="W964" s="5">
        <v>26681.654999999999</v>
      </c>
      <c r="X964" s="5">
        <f>fin_table[[#This Row],[Interest Rate]]*fin_table[[#This Row],[Loan Amount]]</f>
        <v>1262.0422814999999</v>
      </c>
      <c r="Y964">
        <v>21</v>
      </c>
      <c r="Z964" s="3">
        <v>327</v>
      </c>
      <c r="AA964" s="3" t="str">
        <f t="shared" si="109"/>
        <v>Poor</v>
      </c>
      <c r="AB964" s="3" cm="1">
        <f t="array" ref="AB964">_xlfn.IFS(fin_table[[#This Row],[Transaction Status]]="Failed", 1, fin_table[[#This Row],[Transaction Status]]="Completed",0,fin_table[[#This Row],[Transaction Status]]="Pending",2)</f>
        <v>1</v>
      </c>
      <c r="AC964" s="3" t="str">
        <f>IF(fin_table[[#This Row],[Loan Defaulters]]=1,"Default", "Good")</f>
        <v>Default</v>
      </c>
      <c r="AD964" s="3">
        <f t="shared" si="110"/>
        <v>1</v>
      </c>
      <c r="AE964" s="4">
        <v>8157.98</v>
      </c>
      <c r="AF964" s="4" t="str">
        <f>IF(fin_table[[#This Row],[Monthly Income]]&lt;3000, "Low Income", IF(fin_table[[#This Row],[Monthly Income]]&lt;=5000, "Middle Income", "High Income"))</f>
        <v>High Income</v>
      </c>
      <c r="AG964" t="s">
        <v>63</v>
      </c>
      <c r="AH964" t="s">
        <v>3635</v>
      </c>
      <c r="AI964" t="str">
        <f t="shared" si="111"/>
        <v>Low-Risk</v>
      </c>
    </row>
    <row r="965" spans="1:35" x14ac:dyDescent="0.35">
      <c r="A965" t="s">
        <v>3473</v>
      </c>
      <c r="B965" t="s">
        <v>3474</v>
      </c>
      <c r="C965" t="s">
        <v>3475</v>
      </c>
      <c r="D965" s="1">
        <v>44975</v>
      </c>
      <c r="E965" s="1" t="str">
        <f t="shared" si="105"/>
        <v>18</v>
      </c>
      <c r="F965" s="1" t="str">
        <f t="shared" si="106"/>
        <v>Feb</v>
      </c>
      <c r="G965" s="6" t="s">
        <v>56</v>
      </c>
      <c r="H965" s="5">
        <v>5304.99</v>
      </c>
      <c r="I965" s="5" t="str">
        <f>IF(fin_table[[#This Row],[Account Balance]]&lt;20000,"Active", "Not Active")</f>
        <v>Not Active</v>
      </c>
      <c r="J965" s="5">
        <v>47252.49</v>
      </c>
      <c r="K965" s="5" t="str">
        <f t="shared" si="107"/>
        <v>Medium</v>
      </c>
      <c r="L965" s="6" t="s">
        <v>35</v>
      </c>
      <c r="M965">
        <v>39</v>
      </c>
      <c r="N965" s="6" t="str">
        <f t="shared" si="108"/>
        <v>Middle-Aged</v>
      </c>
      <c r="O965" s="6" t="s">
        <v>42</v>
      </c>
      <c r="P965" s="6" t="s">
        <v>50</v>
      </c>
      <c r="Q965" t="s">
        <v>3366</v>
      </c>
      <c r="R965" s="6" t="s">
        <v>38</v>
      </c>
      <c r="S965" s="6" t="s">
        <v>29</v>
      </c>
      <c r="T965" s="14">
        <v>1.9900000000000001E-2</v>
      </c>
      <c r="U965">
        <v>1.99</v>
      </c>
      <c r="V965" t="str">
        <f>IF(fin_table[[#This Row],[Interest Rate(%)]]&gt;4,"high","low")</f>
        <v>low</v>
      </c>
      <c r="W965" s="5">
        <v>26681.654999999999</v>
      </c>
      <c r="X965" s="5">
        <f>fin_table[[#This Row],[Interest Rate]]*fin_table[[#This Row],[Loan Amount]]</f>
        <v>530.96493450000003</v>
      </c>
      <c r="Y965">
        <v>24</v>
      </c>
      <c r="Z965" s="3">
        <v>435</v>
      </c>
      <c r="AA965" s="3" t="str">
        <f t="shared" si="109"/>
        <v>Poor</v>
      </c>
      <c r="AB965" s="3" cm="1">
        <f t="array" ref="AB965">_xlfn.IFS(fin_table[[#This Row],[Transaction Status]]="Failed", 1, fin_table[[#This Row],[Transaction Status]]="Completed",0,fin_table[[#This Row],[Transaction Status]]="Pending",2)</f>
        <v>1</v>
      </c>
      <c r="AC965" s="3" t="str">
        <f>IF(fin_table[[#This Row],[Loan Defaulters]]=1,"Default", "Good")</f>
        <v>Default</v>
      </c>
      <c r="AD965" s="3">
        <f t="shared" si="110"/>
        <v>1</v>
      </c>
      <c r="AE965" s="4">
        <v>11820.9</v>
      </c>
      <c r="AF965" s="4" t="str">
        <f>IF(fin_table[[#This Row],[Monthly Income]]&lt;3000, "Low Income", IF(fin_table[[#This Row],[Monthly Income]]&lt;=5000, "Middle Income", "High Income"))</f>
        <v>High Income</v>
      </c>
      <c r="AG965" t="s">
        <v>30</v>
      </c>
      <c r="AH965" t="s">
        <v>3635</v>
      </c>
      <c r="AI965" t="str">
        <f t="shared" si="111"/>
        <v>Low-Risk</v>
      </c>
    </row>
    <row r="966" spans="1:35" x14ac:dyDescent="0.35">
      <c r="A966" t="s">
        <v>3476</v>
      </c>
      <c r="B966" t="s">
        <v>3477</v>
      </c>
      <c r="C966" t="s">
        <v>3478</v>
      </c>
      <c r="D966" s="1">
        <v>45046</v>
      </c>
      <c r="E966" s="1" t="str">
        <f t="shared" si="105"/>
        <v>30</v>
      </c>
      <c r="F966" s="1" t="str">
        <f t="shared" si="106"/>
        <v>Apr</v>
      </c>
      <c r="G966" s="6" t="s">
        <v>56</v>
      </c>
      <c r="H966" s="5">
        <v>2570.29</v>
      </c>
      <c r="I966" s="5" t="str">
        <f>IF(fin_table[[#This Row],[Account Balance]]&lt;20000,"Active", "Not Active")</f>
        <v>Not Active</v>
      </c>
      <c r="J966" s="5">
        <v>38525.620000000003</v>
      </c>
      <c r="K966" s="5" t="str">
        <f t="shared" si="107"/>
        <v>Medium</v>
      </c>
      <c r="L966" s="6" t="s">
        <v>100</v>
      </c>
      <c r="M966">
        <v>37</v>
      </c>
      <c r="N966" s="6" t="str">
        <f t="shared" si="108"/>
        <v>Middle-Aged</v>
      </c>
      <c r="O966" s="6" t="s">
        <v>25</v>
      </c>
      <c r="P966" s="6" t="s">
        <v>36</v>
      </c>
      <c r="Q966" t="s">
        <v>1453</v>
      </c>
      <c r="R966" s="6" t="s">
        <v>28</v>
      </c>
      <c r="S966" s="6" t="s">
        <v>44</v>
      </c>
      <c r="T966" s="14">
        <v>3.5700000000000003E-2</v>
      </c>
      <c r="U966">
        <v>3.57</v>
      </c>
      <c r="V966" t="str">
        <f>IF(fin_table[[#This Row],[Interest Rate(%)]]&gt;4,"high","low")</f>
        <v>low</v>
      </c>
      <c r="W966" s="5">
        <v>26681.654999999999</v>
      </c>
      <c r="X966" s="5">
        <f>fin_table[[#This Row],[Interest Rate]]*fin_table[[#This Row],[Loan Amount]]</f>
        <v>952.53508350000004</v>
      </c>
      <c r="Y966">
        <v>13</v>
      </c>
      <c r="Z966" s="3">
        <v>704</v>
      </c>
      <c r="AA966" s="3" t="str">
        <f t="shared" si="109"/>
        <v>Good</v>
      </c>
      <c r="AB966" s="3" cm="1">
        <f t="array" ref="AB966">_xlfn.IFS(fin_table[[#This Row],[Transaction Status]]="Failed", 1, fin_table[[#This Row],[Transaction Status]]="Completed",0,fin_table[[#This Row],[Transaction Status]]="Pending",2)</f>
        <v>0</v>
      </c>
      <c r="AC966" s="3" t="str">
        <f>IF(fin_table[[#This Row],[Loan Defaulters]]=1,"Default", "Good")</f>
        <v>Good</v>
      </c>
      <c r="AD966" s="3">
        <f t="shared" si="110"/>
        <v>3</v>
      </c>
      <c r="AE966" s="4">
        <v>13443.79</v>
      </c>
      <c r="AF966" s="4" t="str">
        <f>IF(fin_table[[#This Row],[Monthly Income]]&lt;3000, "Low Income", IF(fin_table[[#This Row],[Monthly Income]]&lt;=5000, "Middle Income", "High Income"))</f>
        <v>High Income</v>
      </c>
      <c r="AG966" t="s">
        <v>45</v>
      </c>
      <c r="AH966" t="s">
        <v>3635</v>
      </c>
      <c r="AI966" t="str">
        <f t="shared" si="111"/>
        <v>Low-Risk</v>
      </c>
    </row>
    <row r="967" spans="1:35" x14ac:dyDescent="0.35">
      <c r="A967" t="s">
        <v>3479</v>
      </c>
      <c r="B967" t="s">
        <v>1624</v>
      </c>
      <c r="C967" t="s">
        <v>3480</v>
      </c>
      <c r="D967" s="1">
        <v>45084</v>
      </c>
      <c r="E967" s="1" t="str">
        <f t="shared" si="105"/>
        <v>07</v>
      </c>
      <c r="F967" s="1" t="str">
        <f t="shared" si="106"/>
        <v>Jun</v>
      </c>
      <c r="G967" s="6" t="s">
        <v>23</v>
      </c>
      <c r="H967" s="5">
        <v>119.98</v>
      </c>
      <c r="I967" s="5" t="str">
        <f>IF(fin_table[[#This Row],[Account Balance]]&lt;20000,"Active", "Not Active")</f>
        <v>Active</v>
      </c>
      <c r="J967" s="5">
        <v>1264.8399999999999</v>
      </c>
      <c r="K967" s="5" t="str">
        <f t="shared" si="107"/>
        <v>Low</v>
      </c>
      <c r="L967" s="6" t="s">
        <v>49</v>
      </c>
      <c r="M967">
        <v>42</v>
      </c>
      <c r="N967" s="6" t="str">
        <f t="shared" si="108"/>
        <v>Middle-Aged</v>
      </c>
      <c r="O967" s="6" t="s">
        <v>25</v>
      </c>
      <c r="P967" s="6" t="s">
        <v>36</v>
      </c>
      <c r="Q967" t="s">
        <v>182</v>
      </c>
      <c r="R967" s="6" t="s">
        <v>52</v>
      </c>
      <c r="S967" s="6" t="s">
        <v>44</v>
      </c>
      <c r="T967" s="14">
        <v>2.1000000000000001E-2</v>
      </c>
      <c r="U967">
        <v>2.1000000000000001E-2</v>
      </c>
      <c r="V967" t="str">
        <f>IF(fin_table[[#This Row],[Interest Rate(%)]]&gt;4,"high","low")</f>
        <v>low</v>
      </c>
      <c r="W967" s="5">
        <v>26681.654999999999</v>
      </c>
      <c r="X967" s="5">
        <f>fin_table[[#This Row],[Interest Rate]]*fin_table[[#This Row],[Loan Amount]]</f>
        <v>560.31475499999999</v>
      </c>
      <c r="Y967">
        <v>2</v>
      </c>
      <c r="Z967" s="3">
        <v>804</v>
      </c>
      <c r="AA967" s="3" t="str">
        <f t="shared" si="109"/>
        <v>Excellent</v>
      </c>
      <c r="AB967" s="3" cm="1">
        <f t="array" ref="AB967">_xlfn.IFS(fin_table[[#This Row],[Transaction Status]]="Failed", 1, fin_table[[#This Row],[Transaction Status]]="Completed",0,fin_table[[#This Row],[Transaction Status]]="Pending",2)</f>
        <v>0</v>
      </c>
      <c r="AC967" s="3" t="str">
        <f>IF(fin_table[[#This Row],[Loan Defaulters]]=1,"Default", "Good")</f>
        <v>Good</v>
      </c>
      <c r="AD967" s="3">
        <f t="shared" si="110"/>
        <v>5</v>
      </c>
      <c r="AE967" s="4">
        <v>14533.9</v>
      </c>
      <c r="AF967" s="4" t="str">
        <f>IF(fin_table[[#This Row],[Monthly Income]]&lt;3000, "Low Income", IF(fin_table[[#This Row],[Monthly Income]]&lt;=5000, "Middle Income", "High Income"))</f>
        <v>High Income</v>
      </c>
      <c r="AG967" t="s">
        <v>45</v>
      </c>
      <c r="AH967" t="s">
        <v>3635</v>
      </c>
      <c r="AI967" t="str">
        <f t="shared" si="111"/>
        <v>Low-Risk</v>
      </c>
    </row>
    <row r="968" spans="1:35" x14ac:dyDescent="0.35">
      <c r="A968" t="s">
        <v>3481</v>
      </c>
      <c r="B968" t="s">
        <v>3482</v>
      </c>
      <c r="C968" t="s">
        <v>3483</v>
      </c>
      <c r="D968" s="1">
        <v>45150</v>
      </c>
      <c r="E968" s="1" t="str">
        <f t="shared" si="105"/>
        <v>12</v>
      </c>
      <c r="F968" s="1" t="str">
        <f t="shared" si="106"/>
        <v>Aug</v>
      </c>
      <c r="G968" s="6" t="s">
        <v>23</v>
      </c>
      <c r="H968" s="5">
        <v>1823.41</v>
      </c>
      <c r="I968" s="5" t="str">
        <f>IF(fin_table[[#This Row],[Account Balance]]&lt;20000,"Active", "Not Active")</f>
        <v>Active</v>
      </c>
      <c r="J968" s="5">
        <v>1065.97</v>
      </c>
      <c r="K968" s="5" t="str">
        <f t="shared" si="107"/>
        <v>Low</v>
      </c>
      <c r="L968" s="6" t="s">
        <v>100</v>
      </c>
      <c r="M968">
        <v>32</v>
      </c>
      <c r="N968" s="6" t="str">
        <f t="shared" si="108"/>
        <v>Adults</v>
      </c>
      <c r="O968" s="6" t="s">
        <v>42</v>
      </c>
      <c r="P968" s="6" t="s">
        <v>36</v>
      </c>
      <c r="Q968" t="s">
        <v>3484</v>
      </c>
      <c r="R968" s="6" t="s">
        <v>38</v>
      </c>
      <c r="S968" s="6" t="s">
        <v>62</v>
      </c>
      <c r="T968" s="14">
        <v>3.0300000000000001E-2</v>
      </c>
      <c r="U968">
        <v>3.03</v>
      </c>
      <c r="V968" t="str">
        <f>IF(fin_table[[#This Row],[Interest Rate(%)]]&gt;4,"high","low")</f>
        <v>low</v>
      </c>
      <c r="W968" s="5">
        <v>16365.25</v>
      </c>
      <c r="X968" s="5">
        <f>fin_table[[#This Row],[Interest Rate]]*fin_table[[#This Row],[Loan Amount]]</f>
        <v>495.867075</v>
      </c>
      <c r="Y968">
        <v>13</v>
      </c>
      <c r="Z968" s="3">
        <v>540</v>
      </c>
      <c r="AA968" s="3" t="str">
        <f t="shared" si="109"/>
        <v>Poor</v>
      </c>
      <c r="AB968" s="3" cm="1">
        <f t="array" ref="AB968">_xlfn.IFS(fin_table[[#This Row],[Transaction Status]]="Failed", 1, fin_table[[#This Row],[Transaction Status]]="Completed",0,fin_table[[#This Row],[Transaction Status]]="Pending",2)</f>
        <v>2</v>
      </c>
      <c r="AC968" s="3" t="str">
        <f>IF(fin_table[[#This Row],[Loan Defaulters]]=1,"Default", "Good")</f>
        <v>Good</v>
      </c>
      <c r="AD968" s="3">
        <f t="shared" si="110"/>
        <v>1</v>
      </c>
      <c r="AE968" s="4">
        <v>6219.17</v>
      </c>
      <c r="AF968" s="4" t="str">
        <f>IF(fin_table[[#This Row],[Monthly Income]]&lt;3000, "Low Income", IF(fin_table[[#This Row],[Monthly Income]]&lt;=5000, "Middle Income", "High Income"))</f>
        <v>High Income</v>
      </c>
      <c r="AG968" t="s">
        <v>45</v>
      </c>
      <c r="AH968" t="s">
        <v>3636</v>
      </c>
      <c r="AI968" t="str">
        <f t="shared" si="111"/>
        <v>Low-Risk</v>
      </c>
    </row>
    <row r="969" spans="1:35" x14ac:dyDescent="0.35">
      <c r="A969" t="s">
        <v>3485</v>
      </c>
      <c r="B969" t="s">
        <v>3486</v>
      </c>
      <c r="C969" t="s">
        <v>3487</v>
      </c>
      <c r="D969" s="1">
        <v>44919</v>
      </c>
      <c r="E969" s="1" t="str">
        <f t="shared" si="105"/>
        <v>24</v>
      </c>
      <c r="F969" s="1" t="str">
        <f t="shared" si="106"/>
        <v>Dec</v>
      </c>
      <c r="G969" s="6" t="s">
        <v>34</v>
      </c>
      <c r="H969" s="5">
        <v>1258.95</v>
      </c>
      <c r="I969" s="5" t="str">
        <f>IF(fin_table[[#This Row],[Account Balance]]&lt;20000,"Active", "Not Active")</f>
        <v>Active</v>
      </c>
      <c r="J969" s="5">
        <v>19526.939999999999</v>
      </c>
      <c r="K969" s="5" t="str">
        <f t="shared" si="107"/>
        <v>Medium</v>
      </c>
      <c r="L969" s="6" t="s">
        <v>24</v>
      </c>
      <c r="M969">
        <v>66</v>
      </c>
      <c r="N969" s="6" t="str">
        <f t="shared" si="108"/>
        <v>Seniors</v>
      </c>
      <c r="O969" s="6" t="s">
        <v>25</v>
      </c>
      <c r="P969" s="6" t="s">
        <v>36</v>
      </c>
      <c r="Q969" t="s">
        <v>3488</v>
      </c>
      <c r="R969" s="6" t="s">
        <v>38</v>
      </c>
      <c r="S969" s="6" t="s">
        <v>62</v>
      </c>
      <c r="T969" s="14">
        <v>4.1500000000000002E-2</v>
      </c>
      <c r="U969">
        <v>4.1500000000000004</v>
      </c>
      <c r="V969" t="str">
        <f>IF(fin_table[[#This Row],[Interest Rate(%)]]&gt;4,"high","low")</f>
        <v>high</v>
      </c>
      <c r="W969" s="5">
        <v>21752.58</v>
      </c>
      <c r="X969" s="5">
        <f>fin_table[[#This Row],[Interest Rate]]*fin_table[[#This Row],[Loan Amount]]</f>
        <v>902.73207000000014</v>
      </c>
      <c r="Y969">
        <v>4</v>
      </c>
      <c r="Z969" s="3">
        <v>743</v>
      </c>
      <c r="AA969" s="3" t="str">
        <f t="shared" si="109"/>
        <v>Very Good</v>
      </c>
      <c r="AB969" s="3" cm="1">
        <f t="array" ref="AB969">_xlfn.IFS(fin_table[[#This Row],[Transaction Status]]="Failed", 1, fin_table[[#This Row],[Transaction Status]]="Completed",0,fin_table[[#This Row],[Transaction Status]]="Pending",2)</f>
        <v>2</v>
      </c>
      <c r="AC969" s="3" t="str">
        <f>IF(fin_table[[#This Row],[Loan Defaulters]]=1,"Default", "Good")</f>
        <v>Good</v>
      </c>
      <c r="AD969" s="3">
        <f t="shared" si="110"/>
        <v>4</v>
      </c>
      <c r="AE969" s="4">
        <v>12383.16</v>
      </c>
      <c r="AF969" s="4" t="str">
        <f>IF(fin_table[[#This Row],[Monthly Income]]&lt;3000, "Low Income", IF(fin_table[[#This Row],[Monthly Income]]&lt;=5000, "Middle Income", "High Income"))</f>
        <v>High Income</v>
      </c>
      <c r="AG969" t="s">
        <v>45</v>
      </c>
      <c r="AH969" t="s">
        <v>3636</v>
      </c>
      <c r="AI969" t="str">
        <f t="shared" si="111"/>
        <v>Low-Risk</v>
      </c>
    </row>
    <row r="970" spans="1:35" x14ac:dyDescent="0.35">
      <c r="A970" t="s">
        <v>3489</v>
      </c>
      <c r="B970" t="s">
        <v>1846</v>
      </c>
      <c r="C970" t="s">
        <v>3490</v>
      </c>
      <c r="D970" s="1">
        <v>44854</v>
      </c>
      <c r="E970" s="1" t="str">
        <f t="shared" si="105"/>
        <v>20</v>
      </c>
      <c r="F970" s="1" t="str">
        <f t="shared" si="106"/>
        <v>Oct</v>
      </c>
      <c r="G970" s="6" t="s">
        <v>23</v>
      </c>
      <c r="H970" s="5">
        <v>4545.9399999999996</v>
      </c>
      <c r="I970" s="5" t="str">
        <f>IF(fin_table[[#This Row],[Account Balance]]&lt;20000,"Active", "Not Active")</f>
        <v>Active</v>
      </c>
      <c r="J970" s="5">
        <v>8026.37</v>
      </c>
      <c r="K970" s="5" t="str">
        <f t="shared" si="107"/>
        <v>Low</v>
      </c>
      <c r="L970" s="6" t="s">
        <v>100</v>
      </c>
      <c r="M970">
        <v>46</v>
      </c>
      <c r="N970" s="6" t="str">
        <f t="shared" si="108"/>
        <v>Older Adults</v>
      </c>
      <c r="O970" s="6" t="s">
        <v>25</v>
      </c>
      <c r="P970" s="6" t="s">
        <v>50</v>
      </c>
      <c r="Q970" t="s">
        <v>117</v>
      </c>
      <c r="R970" s="6" t="s">
        <v>38</v>
      </c>
      <c r="S970" s="6" t="s">
        <v>29</v>
      </c>
      <c r="T970" s="14">
        <v>4.53E-2</v>
      </c>
      <c r="U970">
        <v>4.53</v>
      </c>
      <c r="V970" t="str">
        <f>IF(fin_table[[#This Row],[Interest Rate(%)]]&gt;4,"high","low")</f>
        <v>high</v>
      </c>
      <c r="W970" s="5">
        <v>9866.7800000000007</v>
      </c>
      <c r="X970" s="5">
        <f>fin_table[[#This Row],[Interest Rate]]*fin_table[[#This Row],[Loan Amount]]</f>
        <v>446.96513400000003</v>
      </c>
      <c r="Y970">
        <v>13</v>
      </c>
      <c r="Z970" s="3">
        <v>733</v>
      </c>
      <c r="AA970" s="3" t="str">
        <f t="shared" si="109"/>
        <v>Good</v>
      </c>
      <c r="AB970" s="3" cm="1">
        <f t="array" ref="AB970">_xlfn.IFS(fin_table[[#This Row],[Transaction Status]]="Failed", 1, fin_table[[#This Row],[Transaction Status]]="Completed",0,fin_table[[#This Row],[Transaction Status]]="Pending",2)</f>
        <v>1</v>
      </c>
      <c r="AC970" s="3" t="str">
        <f>IF(fin_table[[#This Row],[Loan Defaulters]]=1,"Default", "Good")</f>
        <v>Default</v>
      </c>
      <c r="AD970" s="3">
        <f t="shared" si="110"/>
        <v>3</v>
      </c>
      <c r="AE970" s="4">
        <v>4738.3900000000003</v>
      </c>
      <c r="AF970" s="4" t="str">
        <f>IF(fin_table[[#This Row],[Monthly Income]]&lt;3000, "Low Income", IF(fin_table[[#This Row],[Monthly Income]]&lt;=5000, "Middle Income", "High Income"))</f>
        <v>Middle Income</v>
      </c>
      <c r="AG970" t="s">
        <v>63</v>
      </c>
      <c r="AH970" t="s">
        <v>3636</v>
      </c>
      <c r="AI970" t="str">
        <f t="shared" si="111"/>
        <v>Low-Risk</v>
      </c>
    </row>
    <row r="971" spans="1:35" x14ac:dyDescent="0.35">
      <c r="A971" t="s">
        <v>3491</v>
      </c>
      <c r="B971" t="s">
        <v>3492</v>
      </c>
      <c r="C971" t="s">
        <v>3493</v>
      </c>
      <c r="D971" s="1">
        <v>44950</v>
      </c>
      <c r="E971" s="1" t="str">
        <f t="shared" si="105"/>
        <v>24</v>
      </c>
      <c r="F971" s="1" t="str">
        <f t="shared" si="106"/>
        <v>Jan</v>
      </c>
      <c r="G971" s="6" t="s">
        <v>23</v>
      </c>
      <c r="H971" s="5">
        <v>6161.36</v>
      </c>
      <c r="I971" s="5" t="str">
        <f>IF(fin_table[[#This Row],[Account Balance]]&lt;20000,"Active", "Not Active")</f>
        <v>Active</v>
      </c>
      <c r="J971" s="5">
        <v>1900.92</v>
      </c>
      <c r="K971" s="5" t="str">
        <f t="shared" si="107"/>
        <v>Low</v>
      </c>
      <c r="L971" s="6" t="s">
        <v>24</v>
      </c>
      <c r="M971">
        <v>25</v>
      </c>
      <c r="N971" s="6" t="str">
        <f t="shared" si="108"/>
        <v>Young Adults</v>
      </c>
      <c r="O971" s="6" t="s">
        <v>42</v>
      </c>
      <c r="P971" s="6" t="s">
        <v>50</v>
      </c>
      <c r="Q971" t="s">
        <v>2368</v>
      </c>
      <c r="R971" s="6" t="s">
        <v>38</v>
      </c>
      <c r="S971" s="6" t="s">
        <v>62</v>
      </c>
      <c r="T971" s="14">
        <v>4.3499999999999997E-2</v>
      </c>
      <c r="U971">
        <v>4.3499999999999996</v>
      </c>
      <c r="V971" t="str">
        <f>IF(fin_table[[#This Row],[Interest Rate(%)]]&gt;4,"high","low")</f>
        <v>high</v>
      </c>
      <c r="W971" s="5">
        <v>26681.654999999999</v>
      </c>
      <c r="X971" s="5">
        <f>fin_table[[#This Row],[Interest Rate]]*fin_table[[#This Row],[Loan Amount]]</f>
        <v>1160.6519924999998</v>
      </c>
      <c r="Y971">
        <v>10</v>
      </c>
      <c r="Z971" s="3">
        <v>527</v>
      </c>
      <c r="AA971" s="3" t="str">
        <f t="shared" si="109"/>
        <v>Poor</v>
      </c>
      <c r="AB971" s="3" cm="1">
        <f t="array" ref="AB971">_xlfn.IFS(fin_table[[#This Row],[Transaction Status]]="Failed", 1, fin_table[[#This Row],[Transaction Status]]="Completed",0,fin_table[[#This Row],[Transaction Status]]="Pending",2)</f>
        <v>2</v>
      </c>
      <c r="AC971" s="3" t="str">
        <f>IF(fin_table[[#This Row],[Loan Defaulters]]=1,"Default", "Good")</f>
        <v>Good</v>
      </c>
      <c r="AD971" s="3">
        <f t="shared" si="110"/>
        <v>1</v>
      </c>
      <c r="AE971" s="4">
        <v>9092.4699999999993</v>
      </c>
      <c r="AF971" s="4" t="str">
        <f>IF(fin_table[[#This Row],[Monthly Income]]&lt;3000, "Low Income", IF(fin_table[[#This Row],[Monthly Income]]&lt;=5000, "Middle Income", "High Income"))</f>
        <v>High Income</v>
      </c>
      <c r="AG971" t="s">
        <v>30</v>
      </c>
      <c r="AH971" t="s">
        <v>3635</v>
      </c>
      <c r="AI971" t="str">
        <f t="shared" si="111"/>
        <v>Low-Risk</v>
      </c>
    </row>
    <row r="972" spans="1:35" x14ac:dyDescent="0.35">
      <c r="A972" t="s">
        <v>3494</v>
      </c>
      <c r="B972" t="s">
        <v>3495</v>
      </c>
      <c r="C972" t="s">
        <v>3496</v>
      </c>
      <c r="D972" s="1">
        <v>45065</v>
      </c>
      <c r="E972" s="1" t="str">
        <f t="shared" si="105"/>
        <v>19</v>
      </c>
      <c r="F972" s="1" t="str">
        <f t="shared" si="106"/>
        <v>May</v>
      </c>
      <c r="G972" s="6" t="s">
        <v>23</v>
      </c>
      <c r="H972" s="5">
        <v>2209.54</v>
      </c>
      <c r="I972" s="5" t="str">
        <f>IF(fin_table[[#This Row],[Account Balance]]&lt;20000,"Active", "Not Active")</f>
        <v>Not Active</v>
      </c>
      <c r="J972" s="5">
        <v>23739.27</v>
      </c>
      <c r="K972" s="5" t="str">
        <f t="shared" si="107"/>
        <v>Medium</v>
      </c>
      <c r="L972" s="6" t="s">
        <v>100</v>
      </c>
      <c r="M972">
        <v>54</v>
      </c>
      <c r="N972" s="6" t="str">
        <f t="shared" si="108"/>
        <v>Older Adults</v>
      </c>
      <c r="O972" s="6" t="s">
        <v>42</v>
      </c>
      <c r="P972" s="6" t="s">
        <v>50</v>
      </c>
      <c r="Q972" t="s">
        <v>3497</v>
      </c>
      <c r="R972" s="6" t="s">
        <v>52</v>
      </c>
      <c r="S972" s="6" t="s">
        <v>62</v>
      </c>
      <c r="T972" s="14">
        <v>3.3300000000000003E-2</v>
      </c>
      <c r="U972">
        <v>3.33</v>
      </c>
      <c r="V972" t="str">
        <f>IF(fin_table[[#This Row],[Interest Rate(%)]]&gt;4,"high","low")</f>
        <v>low</v>
      </c>
      <c r="W972" s="5">
        <v>26681.654999999999</v>
      </c>
      <c r="X972" s="5">
        <f>fin_table[[#This Row],[Interest Rate]]*fin_table[[#This Row],[Loan Amount]]</f>
        <v>888.49911150000003</v>
      </c>
      <c r="Y972">
        <v>2</v>
      </c>
      <c r="Z972" s="3">
        <v>808</v>
      </c>
      <c r="AA972" s="3" t="str">
        <f t="shared" si="109"/>
        <v>Excellent</v>
      </c>
      <c r="AB972" s="3" cm="1">
        <f t="array" ref="AB972">_xlfn.IFS(fin_table[[#This Row],[Transaction Status]]="Failed", 1, fin_table[[#This Row],[Transaction Status]]="Completed",0,fin_table[[#This Row],[Transaction Status]]="Pending",2)</f>
        <v>2</v>
      </c>
      <c r="AC972" s="3" t="str">
        <f>IF(fin_table[[#This Row],[Loan Defaulters]]=1,"Default", "Good")</f>
        <v>Good</v>
      </c>
      <c r="AD972" s="3">
        <f t="shared" si="110"/>
        <v>5</v>
      </c>
      <c r="AE972" s="4">
        <v>4338.03</v>
      </c>
      <c r="AF972" s="4" t="str">
        <f>IF(fin_table[[#This Row],[Monthly Income]]&lt;3000, "Low Income", IF(fin_table[[#This Row],[Monthly Income]]&lt;=5000, "Middle Income", "High Income"))</f>
        <v>Middle Income</v>
      </c>
      <c r="AG972" t="s">
        <v>63</v>
      </c>
      <c r="AH972" t="s">
        <v>3635</v>
      </c>
      <c r="AI972" t="str">
        <f t="shared" si="111"/>
        <v>Low-Risk</v>
      </c>
    </row>
    <row r="973" spans="1:35" x14ac:dyDescent="0.35">
      <c r="A973" t="s">
        <v>3498</v>
      </c>
      <c r="B973" t="s">
        <v>3499</v>
      </c>
      <c r="C973" t="s">
        <v>3500</v>
      </c>
      <c r="D973" s="1">
        <v>45101</v>
      </c>
      <c r="E973" s="1" t="str">
        <f t="shared" si="105"/>
        <v>24</v>
      </c>
      <c r="F973" s="1" t="str">
        <f t="shared" si="106"/>
        <v>Jun</v>
      </c>
      <c r="G973" s="6" t="s">
        <v>23</v>
      </c>
      <c r="H973" s="5">
        <v>9396.67</v>
      </c>
      <c r="I973" s="5" t="str">
        <f>IF(fin_table[[#This Row],[Account Balance]]&lt;20000,"Active", "Not Active")</f>
        <v>Not Active</v>
      </c>
      <c r="J973" s="5">
        <v>47210.03</v>
      </c>
      <c r="K973" s="5" t="str">
        <f t="shared" si="107"/>
        <v>Medium</v>
      </c>
      <c r="L973" s="6" t="s">
        <v>100</v>
      </c>
      <c r="M973">
        <v>66</v>
      </c>
      <c r="N973" s="6" t="str">
        <f t="shared" si="108"/>
        <v>Seniors</v>
      </c>
      <c r="O973" s="6" t="s">
        <v>42</v>
      </c>
      <c r="P973" s="6" t="s">
        <v>26</v>
      </c>
      <c r="Q973" t="s">
        <v>590</v>
      </c>
      <c r="R973" s="6" t="s">
        <v>38</v>
      </c>
      <c r="S973" s="6" t="s">
        <v>29</v>
      </c>
      <c r="T973" s="47">
        <v>0.02</v>
      </c>
      <c r="U973">
        <v>0.02</v>
      </c>
      <c r="V973" t="str">
        <f>IF(fin_table[[#This Row],[Interest Rate(%)]]&gt;4,"high","low")</f>
        <v>low</v>
      </c>
      <c r="W973" s="5">
        <v>37430.050000000003</v>
      </c>
      <c r="X973" s="5">
        <f>fin_table[[#This Row],[Interest Rate]]*fin_table[[#This Row],[Loan Amount]]</f>
        <v>748.60100000000011</v>
      </c>
      <c r="Y973">
        <v>13</v>
      </c>
      <c r="Z973" s="3">
        <v>602</v>
      </c>
      <c r="AA973" s="3" t="str">
        <f t="shared" si="109"/>
        <v>Fair</v>
      </c>
      <c r="AB973" s="3" cm="1">
        <f t="array" ref="AB973">_xlfn.IFS(fin_table[[#This Row],[Transaction Status]]="Failed", 1, fin_table[[#This Row],[Transaction Status]]="Completed",0,fin_table[[#This Row],[Transaction Status]]="Pending",2)</f>
        <v>1</v>
      </c>
      <c r="AC973" s="3" t="str">
        <f>IF(fin_table[[#This Row],[Loan Defaulters]]=1,"Default", "Good")</f>
        <v>Default</v>
      </c>
      <c r="AD973" s="3">
        <f t="shared" si="110"/>
        <v>2</v>
      </c>
      <c r="AE973" s="4">
        <v>6516.17</v>
      </c>
      <c r="AF973" s="4" t="str">
        <f>IF(fin_table[[#This Row],[Monthly Income]]&lt;3000, "Low Income", IF(fin_table[[#This Row],[Monthly Income]]&lt;=5000, "Middle Income", "High Income"))</f>
        <v>High Income</v>
      </c>
      <c r="AG973" t="s">
        <v>45</v>
      </c>
      <c r="AH973" t="s">
        <v>3636</v>
      </c>
      <c r="AI973" t="str">
        <f t="shared" si="111"/>
        <v>Low-Risk</v>
      </c>
    </row>
    <row r="974" spans="1:35" x14ac:dyDescent="0.35">
      <c r="A974" t="s">
        <v>3501</v>
      </c>
      <c r="B974" t="s">
        <v>3502</v>
      </c>
      <c r="C974" t="s">
        <v>3503</v>
      </c>
      <c r="D974" s="1">
        <v>45053</v>
      </c>
      <c r="E974" s="1" t="str">
        <f t="shared" si="105"/>
        <v>07</v>
      </c>
      <c r="F974" s="1" t="str">
        <f t="shared" si="106"/>
        <v>May</v>
      </c>
      <c r="G974" s="6" t="s">
        <v>71</v>
      </c>
      <c r="H974" s="5">
        <v>166.15</v>
      </c>
      <c r="I974" s="5" t="str">
        <f>IF(fin_table[[#This Row],[Account Balance]]&lt;20000,"Active", "Not Active")</f>
        <v>Active</v>
      </c>
      <c r="J974" s="5">
        <v>16867.16</v>
      </c>
      <c r="K974" s="5" t="str">
        <f t="shared" si="107"/>
        <v>Medium</v>
      </c>
      <c r="L974" s="6" t="s">
        <v>35</v>
      </c>
      <c r="M974">
        <v>69</v>
      </c>
      <c r="N974" s="6" t="str">
        <f t="shared" si="108"/>
        <v>Seniors</v>
      </c>
      <c r="O974" s="6" t="s">
        <v>42</v>
      </c>
      <c r="P974" s="6" t="s">
        <v>26</v>
      </c>
      <c r="Q974" t="s">
        <v>2900</v>
      </c>
      <c r="R974" s="6" t="s">
        <v>52</v>
      </c>
      <c r="S974" s="6" t="s">
        <v>62</v>
      </c>
      <c r="T974" s="14">
        <v>3.6400000000000002E-2</v>
      </c>
      <c r="U974">
        <v>3.64</v>
      </c>
      <c r="V974" t="str">
        <f>IF(fin_table[[#This Row],[Interest Rate(%)]]&gt;4,"high","low")</f>
        <v>low</v>
      </c>
      <c r="W974" s="5">
        <v>7184.77</v>
      </c>
      <c r="X974" s="5">
        <f>fin_table[[#This Row],[Interest Rate]]*fin_table[[#This Row],[Loan Amount]]</f>
        <v>261.52562800000004</v>
      </c>
      <c r="Y974">
        <v>13</v>
      </c>
      <c r="Z974" s="3">
        <v>333</v>
      </c>
      <c r="AA974" s="3" t="str">
        <f t="shared" si="109"/>
        <v>Poor</v>
      </c>
      <c r="AB974" s="3" cm="1">
        <f t="array" ref="AB974">_xlfn.IFS(fin_table[[#This Row],[Transaction Status]]="Failed", 1, fin_table[[#This Row],[Transaction Status]]="Completed",0,fin_table[[#This Row],[Transaction Status]]="Pending",2)</f>
        <v>2</v>
      </c>
      <c r="AC974" s="3" t="str">
        <f>IF(fin_table[[#This Row],[Loan Defaulters]]=1,"Default", "Good")</f>
        <v>Good</v>
      </c>
      <c r="AD974" s="3">
        <f t="shared" si="110"/>
        <v>1</v>
      </c>
      <c r="AE974" s="4">
        <v>14107.66</v>
      </c>
      <c r="AF974" s="4" t="str">
        <f>IF(fin_table[[#This Row],[Monthly Income]]&lt;3000, "Low Income", IF(fin_table[[#This Row],[Monthly Income]]&lt;=5000, "Middle Income", "High Income"))</f>
        <v>High Income</v>
      </c>
      <c r="AG974" t="s">
        <v>45</v>
      </c>
      <c r="AH974" t="s">
        <v>3636</v>
      </c>
      <c r="AI974" t="str">
        <f t="shared" si="111"/>
        <v>Low-Risk</v>
      </c>
    </row>
    <row r="975" spans="1:35" x14ac:dyDescent="0.35">
      <c r="A975" t="s">
        <v>3504</v>
      </c>
      <c r="B975" t="s">
        <v>3505</v>
      </c>
      <c r="C975" t="s">
        <v>3506</v>
      </c>
      <c r="D975" s="1">
        <v>45151</v>
      </c>
      <c r="E975" s="1" t="str">
        <f t="shared" si="105"/>
        <v>13</v>
      </c>
      <c r="F975" s="1" t="str">
        <f t="shared" si="106"/>
        <v>Aug</v>
      </c>
      <c r="G975" s="6" t="s">
        <v>23</v>
      </c>
      <c r="H975" s="5">
        <v>7745.78</v>
      </c>
      <c r="I975" s="5" t="str">
        <f>IF(fin_table[[#This Row],[Account Balance]]&lt;20000,"Active", "Not Active")</f>
        <v>Not Active</v>
      </c>
      <c r="J975" s="5">
        <v>33395.89</v>
      </c>
      <c r="K975" s="5" t="str">
        <f t="shared" si="107"/>
        <v>Medium</v>
      </c>
      <c r="L975" s="6" t="s">
        <v>49</v>
      </c>
      <c r="M975">
        <v>50</v>
      </c>
      <c r="N975" s="6" t="str">
        <f t="shared" si="108"/>
        <v>Older Adults</v>
      </c>
      <c r="O975" s="6" t="s">
        <v>42</v>
      </c>
      <c r="P975" s="6" t="s">
        <v>36</v>
      </c>
      <c r="Q975" t="s">
        <v>1516</v>
      </c>
      <c r="R975" s="6" t="s">
        <v>38</v>
      </c>
      <c r="S975" s="6" t="s">
        <v>44</v>
      </c>
      <c r="T975" s="14">
        <v>3.8399999999999997E-2</v>
      </c>
      <c r="U975">
        <v>3.84</v>
      </c>
      <c r="V975" t="str">
        <f>IF(fin_table[[#This Row],[Interest Rate(%)]]&gt;4,"high","low")</f>
        <v>low</v>
      </c>
      <c r="W975" s="5">
        <v>34303.65</v>
      </c>
      <c r="X975" s="5">
        <f>fin_table[[#This Row],[Interest Rate]]*fin_table[[#This Row],[Loan Amount]]</f>
        <v>1317.26016</v>
      </c>
      <c r="Y975">
        <v>13</v>
      </c>
      <c r="Z975" s="3">
        <v>301</v>
      </c>
      <c r="AA975" s="3" t="str">
        <f t="shared" si="109"/>
        <v>Poor</v>
      </c>
      <c r="AB975" s="3" cm="1">
        <f t="array" ref="AB975">_xlfn.IFS(fin_table[[#This Row],[Transaction Status]]="Failed", 1, fin_table[[#This Row],[Transaction Status]]="Completed",0,fin_table[[#This Row],[Transaction Status]]="Pending",2)</f>
        <v>0</v>
      </c>
      <c r="AC975" s="3" t="str">
        <f>IF(fin_table[[#This Row],[Loan Defaulters]]=1,"Default", "Good")</f>
        <v>Good</v>
      </c>
      <c r="AD975" s="3">
        <f t="shared" si="110"/>
        <v>1</v>
      </c>
      <c r="AE975" s="4">
        <v>3899.18</v>
      </c>
      <c r="AF975" s="4" t="str">
        <f>IF(fin_table[[#This Row],[Monthly Income]]&lt;3000, "Low Income", IF(fin_table[[#This Row],[Monthly Income]]&lt;=5000, "Middle Income", "High Income"))</f>
        <v>Middle Income</v>
      </c>
      <c r="AG975" t="s">
        <v>30</v>
      </c>
      <c r="AH975" t="s">
        <v>3636</v>
      </c>
      <c r="AI975" t="str">
        <f t="shared" si="111"/>
        <v>High-Risk</v>
      </c>
    </row>
    <row r="976" spans="1:35" x14ac:dyDescent="0.35">
      <c r="A976" t="s">
        <v>3507</v>
      </c>
      <c r="B976" t="s">
        <v>3508</v>
      </c>
      <c r="C976" t="s">
        <v>3509</v>
      </c>
      <c r="D976" s="1">
        <v>45140</v>
      </c>
      <c r="E976" s="1" t="str">
        <f t="shared" si="105"/>
        <v>02</v>
      </c>
      <c r="F976" s="1" t="str">
        <f t="shared" si="106"/>
        <v>Aug</v>
      </c>
      <c r="G976" s="6" t="s">
        <v>71</v>
      </c>
      <c r="H976" s="5">
        <v>6289.53</v>
      </c>
      <c r="I976" s="5" t="str">
        <f>IF(fin_table[[#This Row],[Account Balance]]&lt;20000,"Active", "Not Active")</f>
        <v>Not Active</v>
      </c>
      <c r="J976" s="5">
        <v>32959.53</v>
      </c>
      <c r="K976" s="5" t="str">
        <f t="shared" si="107"/>
        <v>Medium</v>
      </c>
      <c r="L976" s="6" t="s">
        <v>49</v>
      </c>
      <c r="M976">
        <v>39</v>
      </c>
      <c r="N976" s="6" t="str">
        <f t="shared" si="108"/>
        <v>Middle-Aged</v>
      </c>
      <c r="O976" s="6" t="s">
        <v>42</v>
      </c>
      <c r="P976" s="6" t="s">
        <v>26</v>
      </c>
      <c r="Q976" t="s">
        <v>1831</v>
      </c>
      <c r="R976" s="6" t="s">
        <v>52</v>
      </c>
      <c r="S976" s="6" t="s">
        <v>62</v>
      </c>
      <c r="T976" s="14">
        <v>1.04E-2</v>
      </c>
      <c r="U976">
        <v>1.04</v>
      </c>
      <c r="V976" t="str">
        <f>IF(fin_table[[#This Row],[Interest Rate(%)]]&gt;4,"high","low")</f>
        <v>low</v>
      </c>
      <c r="W976" s="5">
        <v>14963.45</v>
      </c>
      <c r="X976" s="5">
        <f>fin_table[[#This Row],[Interest Rate]]*fin_table[[#This Row],[Loan Amount]]</f>
        <v>155.61987999999999</v>
      </c>
      <c r="Y976">
        <v>13</v>
      </c>
      <c r="Z976" s="3">
        <v>661</v>
      </c>
      <c r="AA976" s="3" t="str">
        <f t="shared" si="109"/>
        <v>Fair</v>
      </c>
      <c r="AB976" s="3" cm="1">
        <f t="array" ref="AB976">_xlfn.IFS(fin_table[[#This Row],[Transaction Status]]="Failed", 1, fin_table[[#This Row],[Transaction Status]]="Completed",0,fin_table[[#This Row],[Transaction Status]]="Pending",2)</f>
        <v>2</v>
      </c>
      <c r="AC976" s="3" t="str">
        <f>IF(fin_table[[#This Row],[Loan Defaulters]]=1,"Default", "Good")</f>
        <v>Good</v>
      </c>
      <c r="AD976" s="3">
        <f t="shared" si="110"/>
        <v>2</v>
      </c>
      <c r="AE976" s="4">
        <v>10221.209999999999</v>
      </c>
      <c r="AF976" s="4" t="str">
        <f>IF(fin_table[[#This Row],[Monthly Income]]&lt;3000, "Low Income", IF(fin_table[[#This Row],[Monthly Income]]&lt;=5000, "Middle Income", "High Income"))</f>
        <v>High Income</v>
      </c>
      <c r="AG976" t="s">
        <v>30</v>
      </c>
      <c r="AH976" t="s">
        <v>3636</v>
      </c>
      <c r="AI976" t="str">
        <f t="shared" si="111"/>
        <v>Low-Risk</v>
      </c>
    </row>
    <row r="977" spans="1:35" x14ac:dyDescent="0.35">
      <c r="A977" t="s">
        <v>3510</v>
      </c>
      <c r="B977" t="s">
        <v>3511</v>
      </c>
      <c r="C977" t="s">
        <v>3512</v>
      </c>
      <c r="D977" s="1">
        <v>45069</v>
      </c>
      <c r="E977" s="1" t="str">
        <f t="shared" si="105"/>
        <v>23</v>
      </c>
      <c r="F977" s="1" t="str">
        <f t="shared" si="106"/>
        <v>May</v>
      </c>
      <c r="G977" s="6" t="s">
        <v>71</v>
      </c>
      <c r="H977" s="5">
        <v>3798.19</v>
      </c>
      <c r="I977" s="5" t="str">
        <f>IF(fin_table[[#This Row],[Account Balance]]&lt;20000,"Active", "Not Active")</f>
        <v>Active</v>
      </c>
      <c r="J977" s="5">
        <v>13302.93</v>
      </c>
      <c r="K977" s="5" t="str">
        <f t="shared" si="107"/>
        <v>Medium</v>
      </c>
      <c r="L977" s="6" t="s">
        <v>125</v>
      </c>
      <c r="M977">
        <v>67</v>
      </c>
      <c r="N977" s="6" t="str">
        <f t="shared" si="108"/>
        <v>Seniors</v>
      </c>
      <c r="O977" s="6" t="s">
        <v>25</v>
      </c>
      <c r="P977" s="6" t="s">
        <v>50</v>
      </c>
      <c r="Q977" t="s">
        <v>3339</v>
      </c>
      <c r="R977" s="6" t="s">
        <v>52</v>
      </c>
      <c r="S977" s="6" t="s">
        <v>29</v>
      </c>
      <c r="T977" s="14">
        <v>2.76E-2</v>
      </c>
      <c r="U977">
        <v>2.76</v>
      </c>
      <c r="V977" t="str">
        <f>IF(fin_table[[#This Row],[Interest Rate(%)]]&gt;4,"high","low")</f>
        <v>low</v>
      </c>
      <c r="W977" s="5">
        <v>8683.77</v>
      </c>
      <c r="X977" s="5">
        <f>fin_table[[#This Row],[Interest Rate]]*fin_table[[#This Row],[Loan Amount]]</f>
        <v>239.67205200000001</v>
      </c>
      <c r="Y977">
        <v>13</v>
      </c>
      <c r="Z977" s="3">
        <v>494</v>
      </c>
      <c r="AA977" s="3" t="str">
        <f t="shared" si="109"/>
        <v>Poor</v>
      </c>
      <c r="AB977" s="3" cm="1">
        <f t="array" ref="AB977">_xlfn.IFS(fin_table[[#This Row],[Transaction Status]]="Failed", 1, fin_table[[#This Row],[Transaction Status]]="Completed",0,fin_table[[#This Row],[Transaction Status]]="Pending",2)</f>
        <v>1</v>
      </c>
      <c r="AC977" s="3" t="str">
        <f>IF(fin_table[[#This Row],[Loan Defaulters]]=1,"Default", "Good")</f>
        <v>Default</v>
      </c>
      <c r="AD977" s="3">
        <f t="shared" si="110"/>
        <v>1</v>
      </c>
      <c r="AE977" s="4">
        <v>9708.41</v>
      </c>
      <c r="AF977" s="4" t="str">
        <f>IF(fin_table[[#This Row],[Monthly Income]]&lt;3000, "Low Income", IF(fin_table[[#This Row],[Monthly Income]]&lt;=5000, "Middle Income", "High Income"))</f>
        <v>High Income</v>
      </c>
      <c r="AG977" t="s">
        <v>63</v>
      </c>
      <c r="AH977" t="s">
        <v>3636</v>
      </c>
      <c r="AI977" t="str">
        <f t="shared" si="111"/>
        <v>Low-Risk</v>
      </c>
    </row>
    <row r="978" spans="1:35" x14ac:dyDescent="0.35">
      <c r="A978" t="s">
        <v>3513</v>
      </c>
      <c r="B978" t="s">
        <v>3514</v>
      </c>
      <c r="C978" t="s">
        <v>3515</v>
      </c>
      <c r="D978" s="1">
        <v>44886</v>
      </c>
      <c r="E978" s="1" t="str">
        <f t="shared" si="105"/>
        <v>21</v>
      </c>
      <c r="F978" s="1" t="str">
        <f t="shared" si="106"/>
        <v>Nov</v>
      </c>
      <c r="G978" s="6" t="s">
        <v>23</v>
      </c>
      <c r="H978" s="5">
        <v>599.84</v>
      </c>
      <c r="I978" s="5" t="str">
        <f>IF(fin_table[[#This Row],[Account Balance]]&lt;20000,"Active", "Not Active")</f>
        <v>Not Active</v>
      </c>
      <c r="J978" s="5">
        <v>32870.839999999997</v>
      </c>
      <c r="K978" s="5" t="str">
        <f t="shared" si="107"/>
        <v>Medium</v>
      </c>
      <c r="L978" s="6" t="s">
        <v>35</v>
      </c>
      <c r="M978">
        <v>64</v>
      </c>
      <c r="N978" s="6" t="str">
        <f t="shared" si="108"/>
        <v>Seniors</v>
      </c>
      <c r="O978" s="6" t="s">
        <v>42</v>
      </c>
      <c r="P978" s="6" t="s">
        <v>36</v>
      </c>
      <c r="Q978" t="s">
        <v>578</v>
      </c>
      <c r="R978" s="6" t="s">
        <v>38</v>
      </c>
      <c r="S978" s="6" t="s">
        <v>44</v>
      </c>
      <c r="T978" s="14">
        <v>4.3700000000000003E-2</v>
      </c>
      <c r="U978">
        <v>4.37</v>
      </c>
      <c r="V978" t="str">
        <f>IF(fin_table[[#This Row],[Interest Rate(%)]]&gt;4,"high","low")</f>
        <v>high</v>
      </c>
      <c r="W978" s="5">
        <v>26681.654999999999</v>
      </c>
      <c r="X978" s="5">
        <f>fin_table[[#This Row],[Interest Rate]]*fin_table[[#This Row],[Loan Amount]]</f>
        <v>1165.9883235</v>
      </c>
      <c r="Y978">
        <v>27</v>
      </c>
      <c r="Z978" s="3">
        <v>607</v>
      </c>
      <c r="AA978" s="3" t="str">
        <f t="shared" si="109"/>
        <v>Fair</v>
      </c>
      <c r="AB978" s="3" cm="1">
        <f t="array" ref="AB978">_xlfn.IFS(fin_table[[#This Row],[Transaction Status]]="Failed", 1, fin_table[[#This Row],[Transaction Status]]="Completed",0,fin_table[[#This Row],[Transaction Status]]="Pending",2)</f>
        <v>0</v>
      </c>
      <c r="AC978" s="3" t="str">
        <f>IF(fin_table[[#This Row],[Loan Defaulters]]=1,"Default", "Good")</f>
        <v>Good</v>
      </c>
      <c r="AD978" s="3">
        <f t="shared" si="110"/>
        <v>2</v>
      </c>
      <c r="AE978" s="4">
        <v>3569.6</v>
      </c>
      <c r="AF978" s="4" t="str">
        <f>IF(fin_table[[#This Row],[Monthly Income]]&lt;3000, "Low Income", IF(fin_table[[#This Row],[Monthly Income]]&lt;=5000, "Middle Income", "High Income"))</f>
        <v>Middle Income</v>
      </c>
      <c r="AG978" t="s">
        <v>30</v>
      </c>
      <c r="AH978" t="s">
        <v>3635</v>
      </c>
      <c r="AI978" t="str">
        <f t="shared" si="111"/>
        <v>Low-Risk</v>
      </c>
    </row>
    <row r="979" spans="1:35" x14ac:dyDescent="0.35">
      <c r="A979" t="s">
        <v>3516</v>
      </c>
      <c r="B979" t="s">
        <v>3517</v>
      </c>
      <c r="C979" t="s">
        <v>3518</v>
      </c>
      <c r="D979" s="1">
        <v>44623</v>
      </c>
      <c r="E979" s="1" t="str">
        <f t="shared" si="105"/>
        <v>03</v>
      </c>
      <c r="F979" s="1" t="str">
        <f t="shared" si="106"/>
        <v>Mar</v>
      </c>
      <c r="G979" s="6" t="s">
        <v>56</v>
      </c>
      <c r="H979" s="5">
        <v>6312.12</v>
      </c>
      <c r="I979" s="5" t="str">
        <f>IF(fin_table[[#This Row],[Account Balance]]&lt;20000,"Active", "Not Active")</f>
        <v>Active</v>
      </c>
      <c r="J979" s="5">
        <v>11404.36</v>
      </c>
      <c r="K979" s="5" t="str">
        <f t="shared" si="107"/>
        <v>Medium</v>
      </c>
      <c r="L979" s="6" t="s">
        <v>35</v>
      </c>
      <c r="M979">
        <v>22</v>
      </c>
      <c r="N979" s="6" t="str">
        <f t="shared" si="108"/>
        <v>Young Adults</v>
      </c>
      <c r="O979" s="6" t="s">
        <v>25</v>
      </c>
      <c r="P979" s="6" t="s">
        <v>36</v>
      </c>
      <c r="Q979" t="s">
        <v>2837</v>
      </c>
      <c r="R979" s="6" t="s">
        <v>38</v>
      </c>
      <c r="S979" s="6" t="s">
        <v>62</v>
      </c>
      <c r="T979" s="14">
        <v>2.9600000000000001E-2</v>
      </c>
      <c r="U979">
        <v>2.96</v>
      </c>
      <c r="V979" t="str">
        <f>IF(fin_table[[#This Row],[Interest Rate(%)]]&gt;4,"high","low")</f>
        <v>low</v>
      </c>
      <c r="W979" s="5">
        <v>26681.654999999999</v>
      </c>
      <c r="X979" s="5">
        <f>fin_table[[#This Row],[Interest Rate]]*fin_table[[#This Row],[Loan Amount]]</f>
        <v>789.77698799999996</v>
      </c>
      <c r="Y979">
        <v>13</v>
      </c>
      <c r="Z979" s="3">
        <v>549</v>
      </c>
      <c r="AA979" s="3" t="str">
        <f t="shared" si="109"/>
        <v>Poor</v>
      </c>
      <c r="AB979" s="3" cm="1">
        <f t="array" ref="AB979">_xlfn.IFS(fin_table[[#This Row],[Transaction Status]]="Failed", 1, fin_table[[#This Row],[Transaction Status]]="Completed",0,fin_table[[#This Row],[Transaction Status]]="Pending",2)</f>
        <v>2</v>
      </c>
      <c r="AC979" s="3" t="str">
        <f>IF(fin_table[[#This Row],[Loan Defaulters]]=1,"Default", "Good")</f>
        <v>Good</v>
      </c>
      <c r="AD979" s="3">
        <f t="shared" si="110"/>
        <v>1</v>
      </c>
      <c r="AE979" s="4">
        <v>6237.73</v>
      </c>
      <c r="AF979" s="4" t="str">
        <f>IF(fin_table[[#This Row],[Monthly Income]]&lt;3000, "Low Income", IF(fin_table[[#This Row],[Monthly Income]]&lt;=5000, "Middle Income", "High Income"))</f>
        <v>High Income</v>
      </c>
      <c r="AG979" t="s">
        <v>63</v>
      </c>
      <c r="AH979" t="s">
        <v>3635</v>
      </c>
      <c r="AI979" t="str">
        <f t="shared" si="111"/>
        <v>Low-Risk</v>
      </c>
    </row>
    <row r="980" spans="1:35" x14ac:dyDescent="0.35">
      <c r="A980" t="s">
        <v>3519</v>
      </c>
      <c r="B980" t="s">
        <v>3520</v>
      </c>
      <c r="C980" t="s">
        <v>3521</v>
      </c>
      <c r="D980" s="1">
        <v>45154</v>
      </c>
      <c r="E980" s="1" t="str">
        <f t="shared" si="105"/>
        <v>16</v>
      </c>
      <c r="F980" s="1" t="str">
        <f t="shared" si="106"/>
        <v>Aug</v>
      </c>
      <c r="G980" s="6" t="s">
        <v>71</v>
      </c>
      <c r="H980" s="5">
        <v>3917.57</v>
      </c>
      <c r="I980" s="5" t="str">
        <f>IF(fin_table[[#This Row],[Account Balance]]&lt;20000,"Active", "Not Active")</f>
        <v>Active</v>
      </c>
      <c r="J980" s="5">
        <v>6978.36</v>
      </c>
      <c r="K980" s="5" t="str">
        <f t="shared" si="107"/>
        <v>Low</v>
      </c>
      <c r="L980" s="6" t="s">
        <v>49</v>
      </c>
      <c r="M980">
        <v>56</v>
      </c>
      <c r="N980" s="6" t="str">
        <f t="shared" si="108"/>
        <v>Older Adults</v>
      </c>
      <c r="O980" s="6" t="s">
        <v>42</v>
      </c>
      <c r="P980" s="6" t="s">
        <v>26</v>
      </c>
      <c r="Q980" t="s">
        <v>902</v>
      </c>
      <c r="R980" s="6" t="s">
        <v>38</v>
      </c>
      <c r="S980" s="6" t="s">
        <v>44</v>
      </c>
      <c r="T980" s="14">
        <v>2.2499999999999999E-2</v>
      </c>
      <c r="U980">
        <v>2.25</v>
      </c>
      <c r="V980" t="str">
        <f>IF(fin_table[[#This Row],[Interest Rate(%)]]&gt;4,"high","low")</f>
        <v>low</v>
      </c>
      <c r="W980" s="5">
        <v>26681.654999999999</v>
      </c>
      <c r="X980" s="5">
        <f>fin_table[[#This Row],[Interest Rate]]*fin_table[[#This Row],[Loan Amount]]</f>
        <v>600.3372374999999</v>
      </c>
      <c r="Y980">
        <v>13</v>
      </c>
      <c r="Z980" s="3">
        <v>446</v>
      </c>
      <c r="AA980" s="3" t="str">
        <f t="shared" si="109"/>
        <v>Poor</v>
      </c>
      <c r="AB980" s="3" cm="1">
        <f t="array" ref="AB980">_xlfn.IFS(fin_table[[#This Row],[Transaction Status]]="Failed", 1, fin_table[[#This Row],[Transaction Status]]="Completed",0,fin_table[[#This Row],[Transaction Status]]="Pending",2)</f>
        <v>0</v>
      </c>
      <c r="AC980" s="3" t="str">
        <f>IF(fin_table[[#This Row],[Loan Defaulters]]=1,"Default", "Good")</f>
        <v>Good</v>
      </c>
      <c r="AD980" s="3">
        <f t="shared" si="110"/>
        <v>1</v>
      </c>
      <c r="AE980" s="4">
        <v>9318.76</v>
      </c>
      <c r="AF980" s="4" t="str">
        <f>IF(fin_table[[#This Row],[Monthly Income]]&lt;3000, "Low Income", IF(fin_table[[#This Row],[Monthly Income]]&lt;=5000, "Middle Income", "High Income"))</f>
        <v>High Income</v>
      </c>
      <c r="AG980" t="s">
        <v>63</v>
      </c>
      <c r="AH980" t="s">
        <v>3635</v>
      </c>
      <c r="AI980" t="str">
        <f t="shared" si="111"/>
        <v>Low-Risk</v>
      </c>
    </row>
    <row r="981" spans="1:35" x14ac:dyDescent="0.35">
      <c r="A981" t="s">
        <v>3522</v>
      </c>
      <c r="B981" t="s">
        <v>3523</v>
      </c>
      <c r="C981" t="s">
        <v>3524</v>
      </c>
      <c r="D981" s="1">
        <v>45083</v>
      </c>
      <c r="E981" s="1" t="str">
        <f t="shared" si="105"/>
        <v>06</v>
      </c>
      <c r="F981" s="1" t="str">
        <f t="shared" si="106"/>
        <v>Jun</v>
      </c>
      <c r="G981" s="6" t="s">
        <v>56</v>
      </c>
      <c r="H981" s="5">
        <v>9369.0400000000009</v>
      </c>
      <c r="I981" s="5" t="str">
        <f>IF(fin_table[[#This Row],[Account Balance]]&lt;20000,"Active", "Not Active")</f>
        <v>Not Active</v>
      </c>
      <c r="J981" s="5">
        <v>35367.78</v>
      </c>
      <c r="K981" s="5" t="str">
        <f t="shared" si="107"/>
        <v>Medium</v>
      </c>
      <c r="L981" s="6" t="s">
        <v>35</v>
      </c>
      <c r="M981">
        <v>35</v>
      </c>
      <c r="N981" s="6" t="str">
        <f t="shared" si="108"/>
        <v>Adults</v>
      </c>
      <c r="O981" s="6" t="s">
        <v>42</v>
      </c>
      <c r="P981" s="6" t="s">
        <v>36</v>
      </c>
      <c r="Q981" t="s">
        <v>988</v>
      </c>
      <c r="R981" s="6" t="s">
        <v>38</v>
      </c>
      <c r="S981" s="6" t="s">
        <v>44</v>
      </c>
      <c r="T981" s="14">
        <v>4.4900000000000002E-2</v>
      </c>
      <c r="U981">
        <v>4.49</v>
      </c>
      <c r="V981" t="str">
        <f>IF(fin_table[[#This Row],[Interest Rate(%)]]&gt;4,"high","low")</f>
        <v>high</v>
      </c>
      <c r="W981" s="5">
        <v>21081.94</v>
      </c>
      <c r="X981" s="5">
        <f>fin_table[[#This Row],[Interest Rate]]*fin_table[[#This Row],[Loan Amount]]</f>
        <v>946.57910600000002</v>
      </c>
      <c r="Y981">
        <v>13</v>
      </c>
      <c r="Z981" s="3">
        <v>645</v>
      </c>
      <c r="AA981" s="3" t="str">
        <f t="shared" si="109"/>
        <v>Fair</v>
      </c>
      <c r="AB981" s="3" cm="1">
        <f t="array" ref="AB981">_xlfn.IFS(fin_table[[#This Row],[Transaction Status]]="Failed", 1, fin_table[[#This Row],[Transaction Status]]="Completed",0,fin_table[[#This Row],[Transaction Status]]="Pending",2)</f>
        <v>0</v>
      </c>
      <c r="AC981" s="3" t="str">
        <f>IF(fin_table[[#This Row],[Loan Defaulters]]=1,"Default", "Good")</f>
        <v>Good</v>
      </c>
      <c r="AD981" s="3">
        <f t="shared" si="110"/>
        <v>2</v>
      </c>
      <c r="AE981" s="4">
        <v>4433.32</v>
      </c>
      <c r="AF981" s="4" t="str">
        <f>IF(fin_table[[#This Row],[Monthly Income]]&lt;3000, "Low Income", IF(fin_table[[#This Row],[Monthly Income]]&lt;=5000, "Middle Income", "High Income"))</f>
        <v>Middle Income</v>
      </c>
      <c r="AG981" t="s">
        <v>45</v>
      </c>
      <c r="AH981" t="s">
        <v>3636</v>
      </c>
      <c r="AI981" t="str">
        <f t="shared" si="111"/>
        <v>Low-Risk</v>
      </c>
    </row>
    <row r="982" spans="1:35" x14ac:dyDescent="0.35">
      <c r="A982" t="s">
        <v>3525</v>
      </c>
      <c r="B982" t="s">
        <v>3526</v>
      </c>
      <c r="C982" t="s">
        <v>3527</v>
      </c>
      <c r="D982" s="1">
        <v>44788</v>
      </c>
      <c r="E982" s="1" t="str">
        <f t="shared" si="105"/>
        <v>15</v>
      </c>
      <c r="F982" s="1" t="str">
        <f t="shared" si="106"/>
        <v>Aug</v>
      </c>
      <c r="G982" s="6" t="s">
        <v>56</v>
      </c>
      <c r="H982" s="5">
        <v>5465.7</v>
      </c>
      <c r="I982" s="5" t="str">
        <f>IF(fin_table[[#This Row],[Account Balance]]&lt;20000,"Active", "Not Active")</f>
        <v>Active</v>
      </c>
      <c r="J982" s="5">
        <v>6558.6</v>
      </c>
      <c r="K982" s="5" t="str">
        <f t="shared" si="107"/>
        <v>Low</v>
      </c>
      <c r="L982" s="6" t="s">
        <v>49</v>
      </c>
      <c r="M982">
        <v>55</v>
      </c>
      <c r="N982" s="6" t="str">
        <f t="shared" si="108"/>
        <v>Older Adults</v>
      </c>
      <c r="O982" s="6" t="s">
        <v>25</v>
      </c>
      <c r="P982" s="6" t="s">
        <v>26</v>
      </c>
      <c r="Q982" t="s">
        <v>3528</v>
      </c>
      <c r="R982" s="6" t="s">
        <v>28</v>
      </c>
      <c r="S982" s="6" t="s">
        <v>62</v>
      </c>
      <c r="T982" s="14">
        <v>1.6199999999999999E-2</v>
      </c>
      <c r="U982">
        <v>1.62</v>
      </c>
      <c r="V982" t="str">
        <f>IF(fin_table[[#This Row],[Interest Rate(%)]]&gt;4,"high","low")</f>
        <v>low</v>
      </c>
      <c r="W982" s="5">
        <v>26681.654999999999</v>
      </c>
      <c r="X982" s="5">
        <f>fin_table[[#This Row],[Interest Rate]]*fin_table[[#This Row],[Loan Amount]]</f>
        <v>432.24281099999996</v>
      </c>
      <c r="Y982">
        <v>13</v>
      </c>
      <c r="Z982" s="3">
        <v>647</v>
      </c>
      <c r="AA982" s="3" t="str">
        <f t="shared" si="109"/>
        <v>Fair</v>
      </c>
      <c r="AB982" s="3" cm="1">
        <f t="array" ref="AB982">_xlfn.IFS(fin_table[[#This Row],[Transaction Status]]="Failed", 1, fin_table[[#This Row],[Transaction Status]]="Completed",0,fin_table[[#This Row],[Transaction Status]]="Pending",2)</f>
        <v>2</v>
      </c>
      <c r="AC982" s="3" t="str">
        <f>IF(fin_table[[#This Row],[Loan Defaulters]]=1,"Default", "Good")</f>
        <v>Good</v>
      </c>
      <c r="AD982" s="3">
        <f t="shared" si="110"/>
        <v>2</v>
      </c>
      <c r="AE982" s="4">
        <v>12408.11</v>
      </c>
      <c r="AF982" s="4" t="str">
        <f>IF(fin_table[[#This Row],[Monthly Income]]&lt;3000, "Low Income", IF(fin_table[[#This Row],[Monthly Income]]&lt;=5000, "Middle Income", "High Income"))</f>
        <v>High Income</v>
      </c>
      <c r="AG982" t="s">
        <v>63</v>
      </c>
      <c r="AH982" t="s">
        <v>3635</v>
      </c>
      <c r="AI982" t="str">
        <f t="shared" si="111"/>
        <v>Low-Risk</v>
      </c>
    </row>
    <row r="983" spans="1:35" x14ac:dyDescent="0.35">
      <c r="A983" t="s">
        <v>3529</v>
      </c>
      <c r="B983" t="s">
        <v>3530</v>
      </c>
      <c r="C983" t="s">
        <v>3531</v>
      </c>
      <c r="D983" s="1">
        <v>44905</v>
      </c>
      <c r="E983" s="1" t="str">
        <f t="shared" si="105"/>
        <v>10</v>
      </c>
      <c r="F983" s="1" t="str">
        <f t="shared" si="106"/>
        <v>Dec</v>
      </c>
      <c r="G983" s="6" t="s">
        <v>23</v>
      </c>
      <c r="H983" s="5">
        <v>9402.5499999999993</v>
      </c>
      <c r="I983" s="5" t="str">
        <f>IF(fin_table[[#This Row],[Account Balance]]&lt;20000,"Active", "Not Active")</f>
        <v>Not Active</v>
      </c>
      <c r="J983" s="5">
        <v>49848.55</v>
      </c>
      <c r="K983" s="5" t="str">
        <f t="shared" si="107"/>
        <v>Medium</v>
      </c>
      <c r="L983" s="6" t="s">
        <v>35</v>
      </c>
      <c r="M983">
        <v>54</v>
      </c>
      <c r="N983" s="6" t="str">
        <f t="shared" si="108"/>
        <v>Older Adults</v>
      </c>
      <c r="O983" s="6" t="s">
        <v>42</v>
      </c>
      <c r="P983" s="6" t="s">
        <v>26</v>
      </c>
      <c r="Q983" t="s">
        <v>2422</v>
      </c>
      <c r="R983" s="6" t="s">
        <v>38</v>
      </c>
      <c r="S983" s="6" t="s">
        <v>62</v>
      </c>
      <c r="T983" s="14">
        <v>1.83E-2</v>
      </c>
      <c r="U983">
        <v>1.83</v>
      </c>
      <c r="V983" t="str">
        <f>IF(fin_table[[#This Row],[Interest Rate(%)]]&gt;4,"high","low")</f>
        <v>low</v>
      </c>
      <c r="W983" s="5">
        <v>48359.73</v>
      </c>
      <c r="X983" s="5">
        <f>fin_table[[#This Row],[Interest Rate]]*fin_table[[#This Row],[Loan Amount]]</f>
        <v>884.98305900000003</v>
      </c>
      <c r="Y983">
        <v>2</v>
      </c>
      <c r="Z983" s="3">
        <v>553</v>
      </c>
      <c r="AA983" s="3" t="str">
        <f t="shared" si="109"/>
        <v>Poor</v>
      </c>
      <c r="AB983" s="3" cm="1">
        <f t="array" ref="AB983">_xlfn.IFS(fin_table[[#This Row],[Transaction Status]]="Failed", 1, fin_table[[#This Row],[Transaction Status]]="Completed",0,fin_table[[#This Row],[Transaction Status]]="Pending",2)</f>
        <v>2</v>
      </c>
      <c r="AC983" s="3" t="str">
        <f>IF(fin_table[[#This Row],[Loan Defaulters]]=1,"Default", "Good")</f>
        <v>Good</v>
      </c>
      <c r="AD983" s="3">
        <f t="shared" si="110"/>
        <v>1</v>
      </c>
      <c r="AE983" s="4">
        <v>14638.03</v>
      </c>
      <c r="AF983" s="4" t="str">
        <f>IF(fin_table[[#This Row],[Monthly Income]]&lt;3000, "Low Income", IF(fin_table[[#This Row],[Monthly Income]]&lt;=5000, "Middle Income", "High Income"))</f>
        <v>High Income</v>
      </c>
      <c r="AG983" t="s">
        <v>45</v>
      </c>
      <c r="AH983" t="s">
        <v>3636</v>
      </c>
      <c r="AI983" t="str">
        <f t="shared" si="111"/>
        <v>High-Risk</v>
      </c>
    </row>
    <row r="984" spans="1:35" x14ac:dyDescent="0.35">
      <c r="A984" t="s">
        <v>3532</v>
      </c>
      <c r="B984" t="s">
        <v>3533</v>
      </c>
      <c r="C984" t="s">
        <v>3534</v>
      </c>
      <c r="D984" s="1">
        <v>45101</v>
      </c>
      <c r="E984" s="1" t="str">
        <f t="shared" si="105"/>
        <v>24</v>
      </c>
      <c r="F984" s="1" t="str">
        <f t="shared" si="106"/>
        <v>Jun</v>
      </c>
      <c r="G984" s="6" t="s">
        <v>34</v>
      </c>
      <c r="H984" s="5">
        <v>2282.79</v>
      </c>
      <c r="I984" s="5" t="str">
        <f>IF(fin_table[[#This Row],[Account Balance]]&lt;20000,"Active", "Not Active")</f>
        <v>Active</v>
      </c>
      <c r="J984" s="5">
        <v>9989.17</v>
      </c>
      <c r="K984" s="5" t="str">
        <f t="shared" si="107"/>
        <v>Low</v>
      </c>
      <c r="L984" s="6" t="s">
        <v>100</v>
      </c>
      <c r="M984">
        <v>47</v>
      </c>
      <c r="N984" s="6" t="str">
        <f t="shared" si="108"/>
        <v>Older Adults</v>
      </c>
      <c r="O984" s="6" t="s">
        <v>42</v>
      </c>
      <c r="P984" s="6" t="s">
        <v>36</v>
      </c>
      <c r="Q984" t="s">
        <v>2543</v>
      </c>
      <c r="R984" s="6" t="s">
        <v>38</v>
      </c>
      <c r="S984" s="6" t="s">
        <v>29</v>
      </c>
      <c r="T984" s="14">
        <v>3.7499999999999999E-2</v>
      </c>
      <c r="U984">
        <v>3.75</v>
      </c>
      <c r="V984" t="str">
        <f>IF(fin_table[[#This Row],[Interest Rate(%)]]&gt;4,"high","low")</f>
        <v>low</v>
      </c>
      <c r="W984" s="5">
        <v>26681.654999999999</v>
      </c>
      <c r="X984" s="5">
        <f>fin_table[[#This Row],[Interest Rate]]*fin_table[[#This Row],[Loan Amount]]</f>
        <v>1000.5620624999999</v>
      </c>
      <c r="Y984">
        <v>3</v>
      </c>
      <c r="Z984" s="3">
        <v>698</v>
      </c>
      <c r="AA984" s="3" t="str">
        <f t="shared" si="109"/>
        <v>Good</v>
      </c>
      <c r="AB984" s="3" cm="1">
        <f t="array" ref="AB984">_xlfn.IFS(fin_table[[#This Row],[Transaction Status]]="Failed", 1, fin_table[[#This Row],[Transaction Status]]="Completed",0,fin_table[[#This Row],[Transaction Status]]="Pending",2)</f>
        <v>1</v>
      </c>
      <c r="AC984" s="3" t="str">
        <f>IF(fin_table[[#This Row],[Loan Defaulters]]=1,"Default", "Good")</f>
        <v>Default</v>
      </c>
      <c r="AD984" s="3">
        <f t="shared" si="110"/>
        <v>3</v>
      </c>
      <c r="AE984" s="4">
        <v>4791.87</v>
      </c>
      <c r="AF984" s="4" t="str">
        <f>IF(fin_table[[#This Row],[Monthly Income]]&lt;3000, "Low Income", IF(fin_table[[#This Row],[Monthly Income]]&lt;=5000, "Middle Income", "High Income"))</f>
        <v>Middle Income</v>
      </c>
      <c r="AG984" t="s">
        <v>63</v>
      </c>
      <c r="AH984" t="s">
        <v>3635</v>
      </c>
      <c r="AI984" t="str">
        <f t="shared" si="111"/>
        <v>Low-Risk</v>
      </c>
    </row>
    <row r="985" spans="1:35" x14ac:dyDescent="0.35">
      <c r="A985" t="s">
        <v>3535</v>
      </c>
      <c r="B985" t="s">
        <v>3536</v>
      </c>
      <c r="C985" t="s">
        <v>3537</v>
      </c>
      <c r="D985" s="1">
        <v>44956</v>
      </c>
      <c r="E985" s="1" t="str">
        <f t="shared" si="105"/>
        <v>30</v>
      </c>
      <c r="F985" s="1" t="str">
        <f t="shared" si="106"/>
        <v>Jan</v>
      </c>
      <c r="G985" s="6" t="s">
        <v>23</v>
      </c>
      <c r="H985" s="5">
        <v>7284.69</v>
      </c>
      <c r="I985" s="5" t="str">
        <f>IF(fin_table[[#This Row],[Account Balance]]&lt;20000,"Active", "Not Active")</f>
        <v>Not Active</v>
      </c>
      <c r="J985" s="5">
        <v>30112.95</v>
      </c>
      <c r="K985" s="5" t="str">
        <f t="shared" si="107"/>
        <v>Medium</v>
      </c>
      <c r="L985" s="6" t="s">
        <v>49</v>
      </c>
      <c r="M985">
        <v>68</v>
      </c>
      <c r="N985" s="6" t="str">
        <f t="shared" si="108"/>
        <v>Seniors</v>
      </c>
      <c r="O985" s="6" t="s">
        <v>25</v>
      </c>
      <c r="P985" s="6" t="s">
        <v>26</v>
      </c>
      <c r="Q985" t="s">
        <v>206</v>
      </c>
      <c r="R985" s="6" t="s">
        <v>38</v>
      </c>
      <c r="S985" s="6" t="s">
        <v>29</v>
      </c>
      <c r="T985" s="14">
        <v>2.41E-2</v>
      </c>
      <c r="U985">
        <v>2.41</v>
      </c>
      <c r="V985" t="str">
        <f>IF(fin_table[[#This Row],[Interest Rate(%)]]&gt;4,"high","low")</f>
        <v>low</v>
      </c>
      <c r="W985" s="5">
        <v>40778.94</v>
      </c>
      <c r="X985" s="5">
        <f>fin_table[[#This Row],[Interest Rate]]*fin_table[[#This Row],[Loan Amount]]</f>
        <v>982.77245400000004</v>
      </c>
      <c r="Y985">
        <v>9</v>
      </c>
      <c r="Z985" s="3">
        <v>633</v>
      </c>
      <c r="AA985" s="3" t="str">
        <f t="shared" si="109"/>
        <v>Fair</v>
      </c>
      <c r="AB985" s="3" cm="1">
        <f t="array" ref="AB985">_xlfn.IFS(fin_table[[#This Row],[Transaction Status]]="Failed", 1, fin_table[[#This Row],[Transaction Status]]="Completed",0,fin_table[[#This Row],[Transaction Status]]="Pending",2)</f>
        <v>1</v>
      </c>
      <c r="AC985" s="3" t="str">
        <f>IF(fin_table[[#This Row],[Loan Defaulters]]=1,"Default", "Good")</f>
        <v>Default</v>
      </c>
      <c r="AD985" s="3">
        <f t="shared" si="110"/>
        <v>2</v>
      </c>
      <c r="AE985" s="4">
        <v>4429.8599999999997</v>
      </c>
      <c r="AF985" s="4" t="str">
        <f>IF(fin_table[[#This Row],[Monthly Income]]&lt;3000, "Low Income", IF(fin_table[[#This Row],[Monthly Income]]&lt;=5000, "Middle Income", "High Income"))</f>
        <v>Middle Income</v>
      </c>
      <c r="AG985" t="s">
        <v>63</v>
      </c>
      <c r="AH985" t="s">
        <v>3636</v>
      </c>
      <c r="AI985" t="str">
        <f t="shared" si="111"/>
        <v>Low-Risk</v>
      </c>
    </row>
    <row r="986" spans="1:35" x14ac:dyDescent="0.35">
      <c r="A986" t="s">
        <v>3538</v>
      </c>
      <c r="B986" t="s">
        <v>3539</v>
      </c>
      <c r="C986" t="s">
        <v>3540</v>
      </c>
      <c r="D986" s="1">
        <v>45083</v>
      </c>
      <c r="E986" s="1" t="str">
        <f t="shared" si="105"/>
        <v>06</v>
      </c>
      <c r="F986" s="1" t="str">
        <f t="shared" si="106"/>
        <v>Jun</v>
      </c>
      <c r="G986" s="6" t="s">
        <v>34</v>
      </c>
      <c r="H986" s="5">
        <v>6210.77</v>
      </c>
      <c r="I986" s="5" t="str">
        <f>IF(fin_table[[#This Row],[Account Balance]]&lt;20000,"Active", "Not Active")</f>
        <v>Not Active</v>
      </c>
      <c r="J986" s="5">
        <v>21157.35</v>
      </c>
      <c r="K986" s="5" t="str">
        <f t="shared" si="107"/>
        <v>Medium</v>
      </c>
      <c r="L986" s="6" t="s">
        <v>49</v>
      </c>
      <c r="M986">
        <v>48</v>
      </c>
      <c r="N986" s="6" t="str">
        <f t="shared" si="108"/>
        <v>Older Adults</v>
      </c>
      <c r="O986" s="6" t="s">
        <v>42</v>
      </c>
      <c r="P986" s="6" t="s">
        <v>26</v>
      </c>
      <c r="Q986" t="s">
        <v>190</v>
      </c>
      <c r="R986" s="6" t="s">
        <v>52</v>
      </c>
      <c r="S986" s="6" t="s">
        <v>44</v>
      </c>
      <c r="T986" s="14">
        <v>3.85E-2</v>
      </c>
      <c r="U986">
        <v>3.85</v>
      </c>
      <c r="V986" t="str">
        <f>IF(fin_table[[#This Row],[Interest Rate(%)]]&gt;4,"high","low")</f>
        <v>low</v>
      </c>
      <c r="W986" s="5">
        <v>5597.08</v>
      </c>
      <c r="X986" s="5">
        <f>fin_table[[#This Row],[Interest Rate]]*fin_table[[#This Row],[Loan Amount]]</f>
        <v>215.48758000000001</v>
      </c>
      <c r="Y986">
        <v>5</v>
      </c>
      <c r="Z986" s="3">
        <v>475</v>
      </c>
      <c r="AA986" s="3" t="str">
        <f t="shared" si="109"/>
        <v>Poor</v>
      </c>
      <c r="AB986" s="3" cm="1">
        <f t="array" ref="AB986">_xlfn.IFS(fin_table[[#This Row],[Transaction Status]]="Failed", 1, fin_table[[#This Row],[Transaction Status]]="Completed",0,fin_table[[#This Row],[Transaction Status]]="Pending",2)</f>
        <v>0</v>
      </c>
      <c r="AC986" s="3" t="str">
        <f>IF(fin_table[[#This Row],[Loan Defaulters]]=1,"Default", "Good")</f>
        <v>Good</v>
      </c>
      <c r="AD986" s="3">
        <f t="shared" si="110"/>
        <v>1</v>
      </c>
      <c r="AE986" s="4">
        <v>7914.16</v>
      </c>
      <c r="AF986" s="4" t="str">
        <f>IF(fin_table[[#This Row],[Monthly Income]]&lt;3000, "Low Income", IF(fin_table[[#This Row],[Monthly Income]]&lt;=5000, "Middle Income", "High Income"))</f>
        <v>High Income</v>
      </c>
      <c r="AG986" t="s">
        <v>30</v>
      </c>
      <c r="AH986" t="s">
        <v>3636</v>
      </c>
      <c r="AI986" t="str">
        <f t="shared" si="111"/>
        <v>Low-Risk</v>
      </c>
    </row>
    <row r="987" spans="1:35" x14ac:dyDescent="0.35">
      <c r="A987" t="s">
        <v>3541</v>
      </c>
      <c r="B987" t="s">
        <v>3542</v>
      </c>
      <c r="C987" t="s">
        <v>3543</v>
      </c>
      <c r="D987" s="1">
        <v>44624</v>
      </c>
      <c r="E987" s="1" t="str">
        <f t="shared" si="105"/>
        <v>04</v>
      </c>
      <c r="F987" s="1" t="str">
        <f t="shared" si="106"/>
        <v>Mar</v>
      </c>
      <c r="G987" s="6" t="s">
        <v>34</v>
      </c>
      <c r="H987" s="5">
        <v>7420.14</v>
      </c>
      <c r="I987" s="5" t="str">
        <f>IF(fin_table[[#This Row],[Account Balance]]&lt;20000,"Active", "Not Active")</f>
        <v>Active</v>
      </c>
      <c r="J987" s="5">
        <v>7192.93</v>
      </c>
      <c r="K987" s="5" t="str">
        <f t="shared" si="107"/>
        <v>Low</v>
      </c>
      <c r="L987" s="6" t="s">
        <v>24</v>
      </c>
      <c r="M987">
        <v>27</v>
      </c>
      <c r="N987" s="6" t="str">
        <f t="shared" si="108"/>
        <v>Adults</v>
      </c>
      <c r="O987" s="6" t="s">
        <v>25</v>
      </c>
      <c r="P987" s="6" t="s">
        <v>26</v>
      </c>
      <c r="Q987" t="s">
        <v>3544</v>
      </c>
      <c r="R987" s="6" t="s">
        <v>38</v>
      </c>
      <c r="S987" s="6" t="s">
        <v>29</v>
      </c>
      <c r="T987" s="14">
        <v>1.6299999999999999E-2</v>
      </c>
      <c r="U987">
        <v>1.63</v>
      </c>
      <c r="V987" t="str">
        <f>IF(fin_table[[#This Row],[Interest Rate(%)]]&gt;4,"high","low")</f>
        <v>low</v>
      </c>
      <c r="W987" s="5">
        <v>26681.654999999999</v>
      </c>
      <c r="X987" s="5">
        <f>fin_table[[#This Row],[Interest Rate]]*fin_table[[#This Row],[Loan Amount]]</f>
        <v>434.91097649999995</v>
      </c>
      <c r="Y987">
        <v>10</v>
      </c>
      <c r="Z987" s="3">
        <v>424</v>
      </c>
      <c r="AA987" s="3" t="str">
        <f t="shared" si="109"/>
        <v>Poor</v>
      </c>
      <c r="AB987" s="3" cm="1">
        <f t="array" ref="AB987">_xlfn.IFS(fin_table[[#This Row],[Transaction Status]]="Failed", 1, fin_table[[#This Row],[Transaction Status]]="Completed",0,fin_table[[#This Row],[Transaction Status]]="Pending",2)</f>
        <v>1</v>
      </c>
      <c r="AC987" s="3" t="str">
        <f>IF(fin_table[[#This Row],[Loan Defaulters]]=1,"Default", "Good")</f>
        <v>Default</v>
      </c>
      <c r="AD987" s="3">
        <f t="shared" si="110"/>
        <v>1</v>
      </c>
      <c r="AE987" s="4">
        <v>11720.95</v>
      </c>
      <c r="AF987" s="4" t="str">
        <f>IF(fin_table[[#This Row],[Monthly Income]]&lt;3000, "Low Income", IF(fin_table[[#This Row],[Monthly Income]]&lt;=5000, "Middle Income", "High Income"))</f>
        <v>High Income</v>
      </c>
      <c r="AG987" t="s">
        <v>30</v>
      </c>
      <c r="AH987" t="s">
        <v>3635</v>
      </c>
      <c r="AI987" t="str">
        <f t="shared" si="111"/>
        <v>Low-Risk</v>
      </c>
    </row>
    <row r="988" spans="1:35" x14ac:dyDescent="0.35">
      <c r="A988" t="s">
        <v>3545</v>
      </c>
      <c r="B988" t="s">
        <v>3546</v>
      </c>
      <c r="C988" t="s">
        <v>3547</v>
      </c>
      <c r="D988" s="1">
        <v>44809</v>
      </c>
      <c r="E988" s="1" t="str">
        <f t="shared" si="105"/>
        <v>05</v>
      </c>
      <c r="F988" s="1" t="str">
        <f t="shared" si="106"/>
        <v>Sep</v>
      </c>
      <c r="G988" s="6" t="s">
        <v>23</v>
      </c>
      <c r="H988" s="5">
        <v>2225.21</v>
      </c>
      <c r="I988" s="5" t="str">
        <f>IF(fin_table[[#This Row],[Account Balance]]&lt;20000,"Active", "Not Active")</f>
        <v>Active</v>
      </c>
      <c r="J988" s="5">
        <v>2364.35</v>
      </c>
      <c r="K988" s="5" t="str">
        <f t="shared" si="107"/>
        <v>Low</v>
      </c>
      <c r="L988" s="6" t="s">
        <v>35</v>
      </c>
      <c r="M988">
        <v>32</v>
      </c>
      <c r="N988" s="6" t="str">
        <f t="shared" si="108"/>
        <v>Adults</v>
      </c>
      <c r="O988" s="6" t="s">
        <v>42</v>
      </c>
      <c r="P988" s="6" t="s">
        <v>26</v>
      </c>
      <c r="Q988" t="s">
        <v>391</v>
      </c>
      <c r="R988" s="6" t="s">
        <v>52</v>
      </c>
      <c r="S988" s="6" t="s">
        <v>44</v>
      </c>
      <c r="T988" s="14">
        <v>2.01E-2</v>
      </c>
      <c r="U988">
        <v>2.0099999999999998</v>
      </c>
      <c r="V988" t="str">
        <f>IF(fin_table[[#This Row],[Interest Rate(%)]]&gt;4,"high","low")</f>
        <v>low</v>
      </c>
      <c r="W988" s="5">
        <v>26681.654999999999</v>
      </c>
      <c r="X988" s="5">
        <f>fin_table[[#This Row],[Interest Rate]]*fin_table[[#This Row],[Loan Amount]]</f>
        <v>536.3012655</v>
      </c>
      <c r="Y988">
        <v>13</v>
      </c>
      <c r="Z988" s="3">
        <v>697</v>
      </c>
      <c r="AA988" s="3" t="str">
        <f t="shared" si="109"/>
        <v>Good</v>
      </c>
      <c r="AB988" s="3" cm="1">
        <f t="array" ref="AB988">_xlfn.IFS(fin_table[[#This Row],[Transaction Status]]="Failed", 1, fin_table[[#This Row],[Transaction Status]]="Completed",0,fin_table[[#This Row],[Transaction Status]]="Pending",2)</f>
        <v>0</v>
      </c>
      <c r="AC988" s="3" t="str">
        <f>IF(fin_table[[#This Row],[Loan Defaulters]]=1,"Default", "Good")</f>
        <v>Good</v>
      </c>
      <c r="AD988" s="3">
        <f t="shared" si="110"/>
        <v>3</v>
      </c>
      <c r="AE988" s="4">
        <v>5660.81</v>
      </c>
      <c r="AF988" s="4" t="str">
        <f>IF(fin_table[[#This Row],[Monthly Income]]&lt;3000, "Low Income", IF(fin_table[[#This Row],[Monthly Income]]&lt;=5000, "Middle Income", "High Income"))</f>
        <v>High Income</v>
      </c>
      <c r="AG988" t="s">
        <v>45</v>
      </c>
      <c r="AH988" t="s">
        <v>3635</v>
      </c>
      <c r="AI988" t="str">
        <f t="shared" si="111"/>
        <v>Low-Risk</v>
      </c>
    </row>
    <row r="989" spans="1:35" x14ac:dyDescent="0.35">
      <c r="A989" t="s">
        <v>3548</v>
      </c>
      <c r="B989" t="s">
        <v>3549</v>
      </c>
      <c r="C989" t="s">
        <v>3550</v>
      </c>
      <c r="D989" s="1">
        <v>44680</v>
      </c>
      <c r="E989" s="1" t="str">
        <f t="shared" si="105"/>
        <v>29</v>
      </c>
      <c r="F989" s="1" t="str">
        <f t="shared" si="106"/>
        <v>Apr</v>
      </c>
      <c r="G989" s="6" t="s">
        <v>23</v>
      </c>
      <c r="H989" s="5">
        <v>6683.45</v>
      </c>
      <c r="I989" s="5" t="str">
        <f>IF(fin_table[[#This Row],[Account Balance]]&lt;20000,"Active", "Not Active")</f>
        <v>Not Active</v>
      </c>
      <c r="J989" s="5">
        <v>31513.88</v>
      </c>
      <c r="K989" s="5" t="str">
        <f t="shared" si="107"/>
        <v>Medium</v>
      </c>
      <c r="L989" s="6" t="s">
        <v>35</v>
      </c>
      <c r="M989">
        <v>59</v>
      </c>
      <c r="N989" s="6" t="str">
        <f t="shared" si="108"/>
        <v>Older Adults</v>
      </c>
      <c r="O989" s="6" t="s">
        <v>42</v>
      </c>
      <c r="P989" s="6" t="s">
        <v>36</v>
      </c>
      <c r="Q989" t="s">
        <v>351</v>
      </c>
      <c r="R989" s="6" t="s">
        <v>52</v>
      </c>
      <c r="S989" s="6" t="s">
        <v>44</v>
      </c>
      <c r="T989" s="14">
        <v>1.6299999999999999E-2</v>
      </c>
      <c r="U989">
        <v>1.63</v>
      </c>
      <c r="V989" t="str">
        <f>IF(fin_table[[#This Row],[Interest Rate(%)]]&gt;4,"high","low")</f>
        <v>low</v>
      </c>
      <c r="W989" s="5">
        <v>26681.654999999999</v>
      </c>
      <c r="X989" s="5">
        <f>fin_table[[#This Row],[Interest Rate]]*fin_table[[#This Row],[Loan Amount]]</f>
        <v>434.91097649999995</v>
      </c>
      <c r="Y989">
        <v>12</v>
      </c>
      <c r="Z989" s="3">
        <v>430</v>
      </c>
      <c r="AA989" s="3" t="str">
        <f t="shared" si="109"/>
        <v>Poor</v>
      </c>
      <c r="AB989" s="3" cm="1">
        <f t="array" ref="AB989">_xlfn.IFS(fin_table[[#This Row],[Transaction Status]]="Failed", 1, fin_table[[#This Row],[Transaction Status]]="Completed",0,fin_table[[#This Row],[Transaction Status]]="Pending",2)</f>
        <v>0</v>
      </c>
      <c r="AC989" s="3" t="str">
        <f>IF(fin_table[[#This Row],[Loan Defaulters]]=1,"Default", "Good")</f>
        <v>Good</v>
      </c>
      <c r="AD989" s="3">
        <f t="shared" si="110"/>
        <v>1</v>
      </c>
      <c r="AE989" s="4">
        <v>2258.44</v>
      </c>
      <c r="AF989" s="4" t="str">
        <f>IF(fin_table[[#This Row],[Monthly Income]]&lt;3000, "Low Income", IF(fin_table[[#This Row],[Monthly Income]]&lt;=5000, "Middle Income", "High Income"))</f>
        <v>Low Income</v>
      </c>
      <c r="AG989" t="s">
        <v>30</v>
      </c>
      <c r="AH989" t="s">
        <v>3635</v>
      </c>
      <c r="AI989" t="str">
        <f t="shared" si="111"/>
        <v>Low-Risk</v>
      </c>
    </row>
    <row r="990" spans="1:35" x14ac:dyDescent="0.35">
      <c r="A990" t="s">
        <v>3551</v>
      </c>
      <c r="B990" t="s">
        <v>3552</v>
      </c>
      <c r="C990" t="s">
        <v>3553</v>
      </c>
      <c r="D990" s="1">
        <v>44965</v>
      </c>
      <c r="E990" s="1" t="str">
        <f t="shared" si="105"/>
        <v>08</v>
      </c>
      <c r="F990" s="1" t="str">
        <f t="shared" si="106"/>
        <v>Feb</v>
      </c>
      <c r="G990" s="6" t="s">
        <v>34</v>
      </c>
      <c r="H990" s="5">
        <v>5030.6000000000004</v>
      </c>
      <c r="I990" s="5" t="str">
        <f>IF(fin_table[[#This Row],[Account Balance]]&lt;20000,"Active", "Not Active")</f>
        <v>Not Active</v>
      </c>
      <c r="J990" s="5">
        <v>40531.120000000003</v>
      </c>
      <c r="K990" s="5" t="str">
        <f t="shared" si="107"/>
        <v>Medium</v>
      </c>
      <c r="L990" s="6" t="s">
        <v>49</v>
      </c>
      <c r="M990">
        <v>65</v>
      </c>
      <c r="N990" s="6" t="str">
        <f t="shared" si="108"/>
        <v>Seniors</v>
      </c>
      <c r="O990" s="6" t="s">
        <v>25</v>
      </c>
      <c r="P990" s="6" t="s">
        <v>50</v>
      </c>
      <c r="Q990" t="s">
        <v>198</v>
      </c>
      <c r="R990" s="6" t="s">
        <v>52</v>
      </c>
      <c r="S990" s="6" t="s">
        <v>29</v>
      </c>
      <c r="T990" s="14">
        <v>4.8099999999999997E-2</v>
      </c>
      <c r="U990">
        <v>4.8099999999999996</v>
      </c>
      <c r="V990" t="str">
        <f>IF(fin_table[[#This Row],[Interest Rate(%)]]&gt;4,"high","low")</f>
        <v>high</v>
      </c>
      <c r="W990" s="5">
        <v>26681.654999999999</v>
      </c>
      <c r="X990" s="5">
        <f>fin_table[[#This Row],[Interest Rate]]*fin_table[[#This Row],[Loan Amount]]</f>
        <v>1283.3876054999998</v>
      </c>
      <c r="Y990">
        <v>18</v>
      </c>
      <c r="Z990" s="3">
        <v>706</v>
      </c>
      <c r="AA990" s="3" t="str">
        <f t="shared" si="109"/>
        <v>Good</v>
      </c>
      <c r="AB990" s="3" cm="1">
        <f t="array" ref="AB990">_xlfn.IFS(fin_table[[#This Row],[Transaction Status]]="Failed", 1, fin_table[[#This Row],[Transaction Status]]="Completed",0,fin_table[[#This Row],[Transaction Status]]="Pending",2)</f>
        <v>1</v>
      </c>
      <c r="AC990" s="3" t="str">
        <f>IF(fin_table[[#This Row],[Loan Defaulters]]=1,"Default", "Good")</f>
        <v>Default</v>
      </c>
      <c r="AD990" s="3">
        <f t="shared" si="110"/>
        <v>3</v>
      </c>
      <c r="AE990" s="4">
        <v>9035.8700000000008</v>
      </c>
      <c r="AF990" s="4" t="str">
        <f>IF(fin_table[[#This Row],[Monthly Income]]&lt;3000, "Low Income", IF(fin_table[[#This Row],[Monthly Income]]&lt;=5000, "Middle Income", "High Income"))</f>
        <v>High Income</v>
      </c>
      <c r="AG990" t="s">
        <v>63</v>
      </c>
      <c r="AH990" t="s">
        <v>3635</v>
      </c>
      <c r="AI990" t="str">
        <f t="shared" si="111"/>
        <v>Low-Risk</v>
      </c>
    </row>
    <row r="991" spans="1:35" x14ac:dyDescent="0.35">
      <c r="A991" t="s">
        <v>3554</v>
      </c>
      <c r="B991" t="s">
        <v>1790</v>
      </c>
      <c r="C991" t="s">
        <v>3555</v>
      </c>
      <c r="D991" s="1">
        <v>44648</v>
      </c>
      <c r="E991" s="1" t="str">
        <f t="shared" si="105"/>
        <v>28</v>
      </c>
      <c r="F991" s="1" t="str">
        <f t="shared" si="106"/>
        <v>Mar</v>
      </c>
      <c r="G991" s="6" t="s">
        <v>23</v>
      </c>
      <c r="H991" s="5">
        <v>7453.97</v>
      </c>
      <c r="I991" s="5" t="str">
        <f>IF(fin_table[[#This Row],[Account Balance]]&lt;20000,"Active", "Not Active")</f>
        <v>Not Active</v>
      </c>
      <c r="J991" s="5">
        <v>42258.77</v>
      </c>
      <c r="K991" s="5" t="str">
        <f t="shared" si="107"/>
        <v>Medium</v>
      </c>
      <c r="L991" s="6" t="s">
        <v>100</v>
      </c>
      <c r="M991">
        <v>61</v>
      </c>
      <c r="N991" s="6" t="str">
        <f t="shared" si="108"/>
        <v>Seniors</v>
      </c>
      <c r="O991" s="6" t="s">
        <v>42</v>
      </c>
      <c r="P991" s="6" t="s">
        <v>50</v>
      </c>
      <c r="Q991" t="s">
        <v>3179</v>
      </c>
      <c r="R991" s="6" t="s">
        <v>52</v>
      </c>
      <c r="S991" s="6" t="s">
        <v>29</v>
      </c>
      <c r="T991" s="14">
        <v>2.6200000000000001E-2</v>
      </c>
      <c r="U991">
        <v>2.62</v>
      </c>
      <c r="V991" t="str">
        <f>IF(fin_table[[#This Row],[Interest Rate(%)]]&gt;4,"high","low")</f>
        <v>low</v>
      </c>
      <c r="W991" s="5">
        <v>26681.654999999999</v>
      </c>
      <c r="X991" s="5">
        <f>fin_table[[#This Row],[Interest Rate]]*fin_table[[#This Row],[Loan Amount]]</f>
        <v>699.05936099999997</v>
      </c>
      <c r="Y991">
        <v>13</v>
      </c>
      <c r="Z991" s="3">
        <v>633</v>
      </c>
      <c r="AA991" s="3" t="str">
        <f>IF(Z991&lt;580, "Poor", IF(Z991&lt;670, "Fair", IF(Z991&lt;740, "Good", IF(Z991&lt;800, "Very Good", "Excellent"))))</f>
        <v>Fair</v>
      </c>
      <c r="AB991" s="3" cm="1">
        <f t="array" ref="AB991">_xlfn.IFS(fin_table[[#This Row],[Transaction Status]]="Failed", 1, fin_table[[#This Row],[Transaction Status]]="Completed",0,fin_table[[#This Row],[Transaction Status]]="Pending",2)</f>
        <v>1</v>
      </c>
      <c r="AC991" s="3" t="str">
        <f>IF(fin_table[[#This Row],[Loan Defaulters]]=1,"Default", "Good")</f>
        <v>Default</v>
      </c>
      <c r="AD991" s="3">
        <f t="shared" si="110"/>
        <v>2</v>
      </c>
      <c r="AE991" s="4">
        <v>14435.81</v>
      </c>
      <c r="AF991" s="4" t="str">
        <f>IF(fin_table[[#This Row],[Monthly Income]]&lt;3000, "Low Income", IF(fin_table[[#This Row],[Monthly Income]]&lt;=5000, "Middle Income", "High Income"))</f>
        <v>High Income</v>
      </c>
      <c r="AG991" t="s">
        <v>45</v>
      </c>
      <c r="AH991" t="s">
        <v>3635</v>
      </c>
      <c r="AI991" t="str">
        <f t="shared" si="111"/>
        <v>Low-Risk</v>
      </c>
    </row>
    <row r="992" spans="1:35" x14ac:dyDescent="0.35">
      <c r="A992" t="s">
        <v>3556</v>
      </c>
      <c r="B992" t="s">
        <v>3557</v>
      </c>
      <c r="C992" t="s">
        <v>3558</v>
      </c>
      <c r="D992" s="1">
        <v>44915</v>
      </c>
      <c r="E992" s="1" t="str">
        <f t="shared" si="105"/>
        <v>20</v>
      </c>
      <c r="F992" s="1" t="str">
        <f t="shared" si="106"/>
        <v>Dec</v>
      </c>
      <c r="G992" s="6" t="s">
        <v>34</v>
      </c>
      <c r="H992" s="5">
        <v>3337.74</v>
      </c>
      <c r="I992" s="5" t="str">
        <f>IF(fin_table[[#This Row],[Account Balance]]&lt;20000,"Active", "Not Active")</f>
        <v>Not Active</v>
      </c>
      <c r="J992" s="5">
        <v>24652.959999999999</v>
      </c>
      <c r="K992" s="5" t="str">
        <f t="shared" si="107"/>
        <v>Medium</v>
      </c>
      <c r="L992" s="6" t="s">
        <v>100</v>
      </c>
      <c r="M992">
        <v>35</v>
      </c>
      <c r="N992" s="6" t="str">
        <f t="shared" si="108"/>
        <v>Adults</v>
      </c>
      <c r="O992" s="6" t="s">
        <v>25</v>
      </c>
      <c r="P992" s="6" t="s">
        <v>26</v>
      </c>
      <c r="Q992" t="s">
        <v>3559</v>
      </c>
      <c r="R992" s="6" t="s">
        <v>28</v>
      </c>
      <c r="S992" s="6" t="s">
        <v>29</v>
      </c>
      <c r="T992" s="14">
        <v>2.35E-2</v>
      </c>
      <c r="U992">
        <v>2.35</v>
      </c>
      <c r="V992" t="str">
        <f>IF(fin_table[[#This Row],[Interest Rate(%)]]&gt;4,"high","low")</f>
        <v>low</v>
      </c>
      <c r="W992" s="5">
        <v>24883.16</v>
      </c>
      <c r="X992" s="5">
        <f>fin_table[[#This Row],[Interest Rate]]*fin_table[[#This Row],[Loan Amount]]</f>
        <v>584.75426000000004</v>
      </c>
      <c r="Y992">
        <v>13</v>
      </c>
      <c r="Z992" s="3">
        <v>319</v>
      </c>
      <c r="AA992" s="3" t="str">
        <f t="shared" si="109"/>
        <v>Poor</v>
      </c>
      <c r="AB992" s="3" cm="1">
        <f t="array" ref="AB992">_xlfn.IFS(fin_table[[#This Row],[Transaction Status]]="Failed", 1, fin_table[[#This Row],[Transaction Status]]="Completed",0,fin_table[[#This Row],[Transaction Status]]="Pending",2)</f>
        <v>1</v>
      </c>
      <c r="AC992" s="3" t="str">
        <f>IF(fin_table[[#This Row],[Loan Defaulters]]=1,"Default", "Good")</f>
        <v>Default</v>
      </c>
      <c r="AD992" s="3">
        <f t="shared" si="110"/>
        <v>1</v>
      </c>
      <c r="AE992" s="4">
        <v>7086.6</v>
      </c>
      <c r="AF992" s="4" t="str">
        <f>IF(fin_table[[#This Row],[Monthly Income]]&lt;3000, "Low Income", IF(fin_table[[#This Row],[Monthly Income]]&lt;=5000, "Middle Income", "High Income"))</f>
        <v>High Income</v>
      </c>
      <c r="AG992" t="s">
        <v>45</v>
      </c>
      <c r="AH992" t="s">
        <v>3636</v>
      </c>
      <c r="AI992" t="str">
        <f t="shared" si="111"/>
        <v>Low-Risk</v>
      </c>
    </row>
    <row r="993" spans="1:35" x14ac:dyDescent="0.35">
      <c r="A993" t="s">
        <v>3560</v>
      </c>
      <c r="B993" t="s">
        <v>3561</v>
      </c>
      <c r="C993" t="s">
        <v>3562</v>
      </c>
      <c r="D993" s="1">
        <v>44943</v>
      </c>
      <c r="E993" s="1" t="str">
        <f t="shared" si="105"/>
        <v>17</v>
      </c>
      <c r="F993" s="1" t="str">
        <f t="shared" si="106"/>
        <v>Jan</v>
      </c>
      <c r="G993" s="6" t="s">
        <v>56</v>
      </c>
      <c r="H993" s="5">
        <v>8911.56</v>
      </c>
      <c r="I993" s="5" t="str">
        <f>IF(fin_table[[#This Row],[Account Balance]]&lt;20000,"Active", "Not Active")</f>
        <v>Not Active</v>
      </c>
      <c r="J993" s="5">
        <v>39095.32</v>
      </c>
      <c r="K993" s="5" t="str">
        <f t="shared" si="107"/>
        <v>Medium</v>
      </c>
      <c r="L993" s="6" t="s">
        <v>100</v>
      </c>
      <c r="M993">
        <v>40</v>
      </c>
      <c r="N993" s="6" t="str">
        <f t="shared" si="108"/>
        <v>Middle-Aged</v>
      </c>
      <c r="O993" s="6" t="s">
        <v>25</v>
      </c>
      <c r="P993" s="6" t="s">
        <v>26</v>
      </c>
      <c r="Q993" t="s">
        <v>3563</v>
      </c>
      <c r="R993" s="6" t="s">
        <v>38</v>
      </c>
      <c r="S993" s="6" t="s">
        <v>62</v>
      </c>
      <c r="T993" s="14">
        <v>1.06E-2</v>
      </c>
      <c r="U993">
        <v>1.06</v>
      </c>
      <c r="V993" t="str">
        <f>IF(fin_table[[#This Row],[Interest Rate(%)]]&gt;4,"high","low")</f>
        <v>low</v>
      </c>
      <c r="W993" s="5">
        <v>26681.654999999999</v>
      </c>
      <c r="X993" s="5">
        <f>fin_table[[#This Row],[Interest Rate]]*fin_table[[#This Row],[Loan Amount]]</f>
        <v>282.82554299999998</v>
      </c>
      <c r="Y993">
        <v>21</v>
      </c>
      <c r="Z993" s="3">
        <v>504</v>
      </c>
      <c r="AA993" s="3" t="str">
        <f t="shared" si="109"/>
        <v>Poor</v>
      </c>
      <c r="AB993" s="3" cm="1">
        <f t="array" ref="AB993">_xlfn.IFS(fin_table[[#This Row],[Transaction Status]]="Failed", 1, fin_table[[#This Row],[Transaction Status]]="Completed",0,fin_table[[#This Row],[Transaction Status]]="Pending",2)</f>
        <v>2</v>
      </c>
      <c r="AC993" s="3" t="str">
        <f>IF(fin_table[[#This Row],[Loan Defaulters]]=1,"Default", "Good")</f>
        <v>Good</v>
      </c>
      <c r="AD993" s="3">
        <f t="shared" si="110"/>
        <v>1</v>
      </c>
      <c r="AE993" s="4">
        <v>7461.75</v>
      </c>
      <c r="AF993" s="4" t="str">
        <f>IF(fin_table[[#This Row],[Monthly Income]]&lt;3000, "Low Income", IF(fin_table[[#This Row],[Monthly Income]]&lt;=5000, "Middle Income", "High Income"))</f>
        <v>High Income</v>
      </c>
      <c r="AG993" t="s">
        <v>45</v>
      </c>
      <c r="AH993" t="s">
        <v>3635</v>
      </c>
      <c r="AI993" t="str">
        <f t="shared" si="111"/>
        <v>Low-Risk</v>
      </c>
    </row>
    <row r="994" spans="1:35" x14ac:dyDescent="0.35">
      <c r="A994" t="s">
        <v>3564</v>
      </c>
      <c r="B994" t="s">
        <v>3565</v>
      </c>
      <c r="C994" t="s">
        <v>3566</v>
      </c>
      <c r="D994" s="1">
        <v>44798</v>
      </c>
      <c r="E994" s="1" t="str">
        <f t="shared" si="105"/>
        <v>25</v>
      </c>
      <c r="F994" s="1" t="str">
        <f t="shared" si="106"/>
        <v>Aug</v>
      </c>
      <c r="G994" s="6" t="s">
        <v>23</v>
      </c>
      <c r="H994" s="5">
        <v>934.58</v>
      </c>
      <c r="I994" s="5" t="str">
        <f>IF(fin_table[[#This Row],[Account Balance]]&lt;20000,"Active", "Not Active")</f>
        <v>Not Active</v>
      </c>
      <c r="J994" s="5">
        <v>33969.51</v>
      </c>
      <c r="K994" s="5" t="str">
        <f t="shared" si="107"/>
        <v>Medium</v>
      </c>
      <c r="L994" s="6" t="s">
        <v>35</v>
      </c>
      <c r="M994">
        <v>50</v>
      </c>
      <c r="N994" s="6" t="str">
        <f t="shared" si="108"/>
        <v>Older Adults</v>
      </c>
      <c r="O994" s="6" t="s">
        <v>25</v>
      </c>
      <c r="P994" s="6" t="s">
        <v>26</v>
      </c>
      <c r="Q994" t="s">
        <v>826</v>
      </c>
      <c r="R994" s="6" t="s">
        <v>52</v>
      </c>
      <c r="S994" s="6" t="s">
        <v>44</v>
      </c>
      <c r="T994" s="14">
        <v>1.61E-2</v>
      </c>
      <c r="U994">
        <v>1.61</v>
      </c>
      <c r="V994" t="str">
        <f>IF(fin_table[[#This Row],[Interest Rate(%)]]&gt;4,"high","low")</f>
        <v>low</v>
      </c>
      <c r="W994" s="5">
        <v>26681.654999999999</v>
      </c>
      <c r="X994" s="5">
        <f>fin_table[[#This Row],[Interest Rate]]*fin_table[[#This Row],[Loan Amount]]</f>
        <v>429.57464549999997</v>
      </c>
      <c r="Y994">
        <v>1</v>
      </c>
      <c r="Z994" s="3">
        <v>654</v>
      </c>
      <c r="AA994" s="3" t="str">
        <f t="shared" si="109"/>
        <v>Fair</v>
      </c>
      <c r="AB994" s="3" cm="1">
        <f t="array" ref="AB994">_xlfn.IFS(fin_table[[#This Row],[Transaction Status]]="Failed", 1, fin_table[[#This Row],[Transaction Status]]="Completed",0,fin_table[[#This Row],[Transaction Status]]="Pending",2)</f>
        <v>0</v>
      </c>
      <c r="AC994" s="3" t="str">
        <f>IF(fin_table[[#This Row],[Loan Defaulters]]=1,"Default", "Good")</f>
        <v>Good</v>
      </c>
      <c r="AD994" s="3">
        <f t="shared" si="110"/>
        <v>2</v>
      </c>
      <c r="AE994" s="4">
        <v>14595.72</v>
      </c>
      <c r="AF994" s="4" t="str">
        <f>IF(fin_table[[#This Row],[Monthly Income]]&lt;3000, "Low Income", IF(fin_table[[#This Row],[Monthly Income]]&lt;=5000, "Middle Income", "High Income"))</f>
        <v>High Income</v>
      </c>
      <c r="AG994" t="s">
        <v>63</v>
      </c>
      <c r="AH994" t="s">
        <v>3635</v>
      </c>
      <c r="AI994" t="str">
        <f t="shared" si="111"/>
        <v>Low-Risk</v>
      </c>
    </row>
    <row r="995" spans="1:35" x14ac:dyDescent="0.35">
      <c r="A995" t="s">
        <v>3567</v>
      </c>
      <c r="B995" t="s">
        <v>3568</v>
      </c>
      <c r="C995" t="s">
        <v>3569</v>
      </c>
      <c r="D995" s="1">
        <v>44630</v>
      </c>
      <c r="E995" s="1" t="str">
        <f t="shared" si="105"/>
        <v>10</v>
      </c>
      <c r="F995" s="1" t="str">
        <f t="shared" si="106"/>
        <v>Mar</v>
      </c>
      <c r="G995" s="6" t="s">
        <v>56</v>
      </c>
      <c r="H995" s="5">
        <v>8091.17</v>
      </c>
      <c r="I995" s="5" t="str">
        <f>IF(fin_table[[#This Row],[Account Balance]]&lt;20000,"Active", "Not Active")</f>
        <v>Not Active</v>
      </c>
      <c r="J995" s="5">
        <v>36488.47</v>
      </c>
      <c r="K995" s="5" t="str">
        <f t="shared" si="107"/>
        <v>Medium</v>
      </c>
      <c r="L995" s="6" t="s">
        <v>24</v>
      </c>
      <c r="M995">
        <v>33</v>
      </c>
      <c r="N995" s="6" t="str">
        <f t="shared" si="108"/>
        <v>Adults</v>
      </c>
      <c r="O995" s="6" t="s">
        <v>42</v>
      </c>
      <c r="P995" s="6" t="s">
        <v>50</v>
      </c>
      <c r="Q995" t="s">
        <v>945</v>
      </c>
      <c r="R995" s="6" t="s">
        <v>38</v>
      </c>
      <c r="S995" s="6" t="s">
        <v>44</v>
      </c>
      <c r="T995" s="14">
        <v>2.6800000000000001E-2</v>
      </c>
      <c r="U995">
        <v>2.68</v>
      </c>
      <c r="V995" t="str">
        <f>IF(fin_table[[#This Row],[Interest Rate(%)]]&gt;4,"high","low")</f>
        <v>low</v>
      </c>
      <c r="W995" s="5">
        <v>24798.82</v>
      </c>
      <c r="X995" s="5">
        <f>fin_table[[#This Row],[Interest Rate]]*fin_table[[#This Row],[Loan Amount]]</f>
        <v>664.60837600000002</v>
      </c>
      <c r="Y995">
        <v>13</v>
      </c>
      <c r="Z995" s="3">
        <v>472</v>
      </c>
      <c r="AA995" s="3" t="str">
        <f t="shared" si="109"/>
        <v>Poor</v>
      </c>
      <c r="AB995" s="3" cm="1">
        <f t="array" ref="AB995">_xlfn.IFS(fin_table[[#This Row],[Transaction Status]]="Failed", 1, fin_table[[#This Row],[Transaction Status]]="Completed",0,fin_table[[#This Row],[Transaction Status]]="Pending",2)</f>
        <v>0</v>
      </c>
      <c r="AC995" s="3" t="str">
        <f>IF(fin_table[[#This Row],[Loan Defaulters]]=1,"Default", "Good")</f>
        <v>Good</v>
      </c>
      <c r="AD995" s="3">
        <f t="shared" si="110"/>
        <v>1</v>
      </c>
      <c r="AE995" s="4">
        <v>11029.9</v>
      </c>
      <c r="AF995" s="4" t="str">
        <f>IF(fin_table[[#This Row],[Monthly Income]]&lt;3000, "Low Income", IF(fin_table[[#This Row],[Monthly Income]]&lt;=5000, "Middle Income", "High Income"))</f>
        <v>High Income</v>
      </c>
      <c r="AG995" t="s">
        <v>30</v>
      </c>
      <c r="AH995" t="s">
        <v>3636</v>
      </c>
      <c r="AI995" t="str">
        <f t="shared" si="111"/>
        <v>Low-Risk</v>
      </c>
    </row>
    <row r="996" spans="1:35" x14ac:dyDescent="0.35">
      <c r="A996" t="s">
        <v>3570</v>
      </c>
      <c r="B996" t="s">
        <v>3571</v>
      </c>
      <c r="C996" t="s">
        <v>3572</v>
      </c>
      <c r="D996" s="1">
        <v>44943</v>
      </c>
      <c r="E996" s="1" t="str">
        <f t="shared" si="105"/>
        <v>17</v>
      </c>
      <c r="F996" s="1" t="str">
        <f t="shared" si="106"/>
        <v>Jan</v>
      </c>
      <c r="G996" s="6" t="s">
        <v>71</v>
      </c>
      <c r="H996" s="5">
        <v>8627.06</v>
      </c>
      <c r="I996" s="5" t="str">
        <f>IF(fin_table[[#This Row],[Account Balance]]&lt;20000,"Active", "Not Active")</f>
        <v>Not Active</v>
      </c>
      <c r="J996" s="5">
        <v>25137.35</v>
      </c>
      <c r="K996" s="5" t="str">
        <f t="shared" si="107"/>
        <v>Medium</v>
      </c>
      <c r="L996" s="6" t="s">
        <v>49</v>
      </c>
      <c r="M996">
        <v>55</v>
      </c>
      <c r="N996" s="6" t="str">
        <f t="shared" si="108"/>
        <v>Older Adults</v>
      </c>
      <c r="O996" s="6" t="s">
        <v>42</v>
      </c>
      <c r="P996" s="6" t="s">
        <v>26</v>
      </c>
      <c r="Q996" t="s">
        <v>3573</v>
      </c>
      <c r="R996" s="6" t="s">
        <v>52</v>
      </c>
      <c r="S996" s="6" t="s">
        <v>44</v>
      </c>
      <c r="T996" s="14">
        <v>1.2699999999999999E-2</v>
      </c>
      <c r="U996">
        <v>1.27</v>
      </c>
      <c r="V996" t="str">
        <f>IF(fin_table[[#This Row],[Interest Rate(%)]]&gt;4,"high","low")</f>
        <v>low</v>
      </c>
      <c r="W996" s="5">
        <v>26681.654999999999</v>
      </c>
      <c r="X996" s="5">
        <f>fin_table[[#This Row],[Interest Rate]]*fin_table[[#This Row],[Loan Amount]]</f>
        <v>338.85701849999998</v>
      </c>
      <c r="Y996">
        <v>5</v>
      </c>
      <c r="Z996" s="3">
        <v>488</v>
      </c>
      <c r="AA996" s="3" t="str">
        <f t="shared" si="109"/>
        <v>Poor</v>
      </c>
      <c r="AB996" s="3" cm="1">
        <f t="array" ref="AB996">_xlfn.IFS(fin_table[[#This Row],[Transaction Status]]="Failed", 1, fin_table[[#This Row],[Transaction Status]]="Completed",0,fin_table[[#This Row],[Transaction Status]]="Pending",2)</f>
        <v>0</v>
      </c>
      <c r="AC996" s="3" t="str">
        <f>IF(fin_table[[#This Row],[Loan Defaulters]]=1,"Default", "Good")</f>
        <v>Good</v>
      </c>
      <c r="AD996" s="3">
        <f t="shared" si="110"/>
        <v>1</v>
      </c>
      <c r="AE996" s="4">
        <v>11349.23</v>
      </c>
      <c r="AF996" s="4" t="str">
        <f>IF(fin_table[[#This Row],[Monthly Income]]&lt;3000, "Low Income", IF(fin_table[[#This Row],[Monthly Income]]&lt;=5000, "Middle Income", "High Income"))</f>
        <v>High Income</v>
      </c>
      <c r="AG996" t="s">
        <v>45</v>
      </c>
      <c r="AH996" t="s">
        <v>3635</v>
      </c>
      <c r="AI996" t="str">
        <f t="shared" si="111"/>
        <v>Low-Risk</v>
      </c>
    </row>
    <row r="997" spans="1:35" x14ac:dyDescent="0.35">
      <c r="A997" t="s">
        <v>3574</v>
      </c>
      <c r="B997" t="s">
        <v>647</v>
      </c>
      <c r="C997" t="s">
        <v>3575</v>
      </c>
      <c r="D997" s="1">
        <v>44619</v>
      </c>
      <c r="E997" s="1" t="str">
        <f t="shared" si="105"/>
        <v>27</v>
      </c>
      <c r="F997" s="1" t="str">
        <f t="shared" si="106"/>
        <v>Feb</v>
      </c>
      <c r="G997" s="6" t="s">
        <v>56</v>
      </c>
      <c r="H997" s="5">
        <v>8190.8</v>
      </c>
      <c r="I997" s="5" t="str">
        <f>IF(fin_table[[#This Row],[Account Balance]]&lt;20000,"Active", "Not Active")</f>
        <v>Not Active</v>
      </c>
      <c r="J997" s="5">
        <v>32037.18</v>
      </c>
      <c r="K997" s="5" t="str">
        <f t="shared" si="107"/>
        <v>Medium</v>
      </c>
      <c r="L997" s="6" t="s">
        <v>125</v>
      </c>
      <c r="M997">
        <v>52</v>
      </c>
      <c r="N997" s="6" t="str">
        <f t="shared" si="108"/>
        <v>Older Adults</v>
      </c>
      <c r="O997" s="6" t="s">
        <v>25</v>
      </c>
      <c r="P997" s="6" t="s">
        <v>36</v>
      </c>
      <c r="Q997" t="s">
        <v>3576</v>
      </c>
      <c r="R997" s="6" t="s">
        <v>28</v>
      </c>
      <c r="S997" s="6" t="s">
        <v>29</v>
      </c>
      <c r="T997" s="14">
        <v>3.04E-2</v>
      </c>
      <c r="U997">
        <v>3.04</v>
      </c>
      <c r="V997" t="str">
        <f>IF(fin_table[[#This Row],[Interest Rate(%)]]&gt;4,"high","low")</f>
        <v>low</v>
      </c>
      <c r="W997" s="5">
        <v>39624.65</v>
      </c>
      <c r="X997" s="5">
        <f>fin_table[[#This Row],[Interest Rate]]*fin_table[[#This Row],[Loan Amount]]</f>
        <v>1204.5893599999999</v>
      </c>
      <c r="Y997">
        <v>13</v>
      </c>
      <c r="Z997" s="3">
        <v>301</v>
      </c>
      <c r="AA997" s="3" t="str">
        <f t="shared" si="109"/>
        <v>Poor</v>
      </c>
      <c r="AB997" s="3" cm="1">
        <f t="array" ref="AB997">_xlfn.IFS(fin_table[[#This Row],[Transaction Status]]="Failed", 1, fin_table[[#This Row],[Transaction Status]]="Completed",0,fin_table[[#This Row],[Transaction Status]]="Pending",2)</f>
        <v>1</v>
      </c>
      <c r="AC997" s="3" t="str">
        <f>IF(fin_table[[#This Row],[Loan Defaulters]]=1,"Default", "Good")</f>
        <v>Default</v>
      </c>
      <c r="AD997" s="3">
        <f t="shared" si="110"/>
        <v>1</v>
      </c>
      <c r="AE997" s="4">
        <v>9315.1299999999992</v>
      </c>
      <c r="AF997" s="4" t="str">
        <f>IF(fin_table[[#This Row],[Monthly Income]]&lt;3000, "Low Income", IF(fin_table[[#This Row],[Monthly Income]]&lt;=5000, "Middle Income", "High Income"))</f>
        <v>High Income</v>
      </c>
      <c r="AG997" t="s">
        <v>63</v>
      </c>
      <c r="AH997" t="s">
        <v>3636</v>
      </c>
      <c r="AI997" t="str">
        <f t="shared" si="111"/>
        <v>High-Risk</v>
      </c>
    </row>
    <row r="998" spans="1:35" x14ac:dyDescent="0.35">
      <c r="A998" t="s">
        <v>3577</v>
      </c>
      <c r="B998" t="s">
        <v>3578</v>
      </c>
      <c r="C998" t="s">
        <v>3579</v>
      </c>
      <c r="D998" s="1">
        <v>44703</v>
      </c>
      <c r="E998" s="1" t="str">
        <f t="shared" si="105"/>
        <v>22</v>
      </c>
      <c r="F998" s="1" t="str">
        <f t="shared" si="106"/>
        <v>May</v>
      </c>
      <c r="G998" s="6" t="s">
        <v>56</v>
      </c>
      <c r="H998" s="5">
        <v>5175.99</v>
      </c>
      <c r="I998" s="5" t="str">
        <f>IF(fin_table[[#This Row],[Account Balance]]&lt;20000,"Active", "Not Active")</f>
        <v>Not Active</v>
      </c>
      <c r="J998" s="5">
        <v>40470.769999999997</v>
      </c>
      <c r="K998" s="5" t="str">
        <f t="shared" si="107"/>
        <v>Medium</v>
      </c>
      <c r="L998" s="6" t="s">
        <v>24</v>
      </c>
      <c r="M998">
        <v>51</v>
      </c>
      <c r="N998" s="6" t="str">
        <f t="shared" si="108"/>
        <v>Older Adults</v>
      </c>
      <c r="O998" s="6" t="s">
        <v>42</v>
      </c>
      <c r="P998" s="6" t="s">
        <v>36</v>
      </c>
      <c r="Q998" t="s">
        <v>3580</v>
      </c>
      <c r="R998" s="6" t="s">
        <v>52</v>
      </c>
      <c r="S998" s="6" t="s">
        <v>29</v>
      </c>
      <c r="T998" s="14">
        <v>2.8199999999999999E-2</v>
      </c>
      <c r="U998">
        <v>2.82</v>
      </c>
      <c r="V998" t="str">
        <f>IF(fin_table[[#This Row],[Interest Rate(%)]]&gt;4,"high","low")</f>
        <v>low</v>
      </c>
      <c r="W998" s="5">
        <v>26681.654999999999</v>
      </c>
      <c r="X998" s="5">
        <f>fin_table[[#This Row],[Interest Rate]]*fin_table[[#This Row],[Loan Amount]]</f>
        <v>752.42267099999992</v>
      </c>
      <c r="Y998">
        <v>13</v>
      </c>
      <c r="Z998" s="3">
        <v>467</v>
      </c>
      <c r="AA998" s="3" t="str">
        <f t="shared" si="109"/>
        <v>Poor</v>
      </c>
      <c r="AB998" s="3" cm="1">
        <f t="array" ref="AB998">_xlfn.IFS(fin_table[[#This Row],[Transaction Status]]="Failed", 1, fin_table[[#This Row],[Transaction Status]]="Completed",0,fin_table[[#This Row],[Transaction Status]]="Pending",2)</f>
        <v>1</v>
      </c>
      <c r="AC998" s="3" t="str">
        <f>IF(fin_table[[#This Row],[Loan Defaulters]]=1,"Default", "Good")</f>
        <v>Default</v>
      </c>
      <c r="AD998" s="3">
        <f t="shared" si="110"/>
        <v>1</v>
      </c>
      <c r="AE998" s="4">
        <v>14669.92</v>
      </c>
      <c r="AF998" s="4" t="str">
        <f>IF(fin_table[[#This Row],[Monthly Income]]&lt;3000, "Low Income", IF(fin_table[[#This Row],[Monthly Income]]&lt;=5000, "Middle Income", "High Income"))</f>
        <v>High Income</v>
      </c>
      <c r="AG998" t="s">
        <v>30</v>
      </c>
      <c r="AH998" t="s">
        <v>3635</v>
      </c>
      <c r="AI998" t="str">
        <f t="shared" si="111"/>
        <v>Low-Risk</v>
      </c>
    </row>
    <row r="999" spans="1:35" x14ac:dyDescent="0.35">
      <c r="A999" t="s">
        <v>3581</v>
      </c>
      <c r="B999" t="s">
        <v>3582</v>
      </c>
      <c r="C999" t="s">
        <v>3583</v>
      </c>
      <c r="D999" s="1">
        <v>44778</v>
      </c>
      <c r="E999" s="1" t="str">
        <f t="shared" si="105"/>
        <v>05</v>
      </c>
      <c r="F999" s="1" t="str">
        <f t="shared" si="106"/>
        <v>Aug</v>
      </c>
      <c r="G999" s="6" t="s">
        <v>34</v>
      </c>
      <c r="H999" s="5">
        <v>4440.01</v>
      </c>
      <c r="I999" s="5" t="str">
        <f>IF(fin_table[[#This Row],[Account Balance]]&lt;20000,"Active", "Not Active")</f>
        <v>Not Active</v>
      </c>
      <c r="J999" s="5">
        <v>20496.32</v>
      </c>
      <c r="K999" s="5" t="str">
        <f t="shared" si="107"/>
        <v>Medium</v>
      </c>
      <c r="L999" s="6" t="s">
        <v>125</v>
      </c>
      <c r="M999">
        <v>45</v>
      </c>
      <c r="N999" s="6" t="str">
        <f t="shared" si="108"/>
        <v>Middle-Aged</v>
      </c>
      <c r="O999" s="6" t="s">
        <v>42</v>
      </c>
      <c r="P999" s="6" t="s">
        <v>36</v>
      </c>
      <c r="Q999" t="s">
        <v>2329</v>
      </c>
      <c r="R999" s="6" t="s">
        <v>38</v>
      </c>
      <c r="S999" s="6" t="s">
        <v>29</v>
      </c>
      <c r="T999" s="14">
        <v>4.07E-2</v>
      </c>
      <c r="U999">
        <v>4.07</v>
      </c>
      <c r="V999" t="str">
        <f>IF(fin_table[[#This Row],[Interest Rate(%)]]&gt;4,"high","low")</f>
        <v>high</v>
      </c>
      <c r="W999" s="5">
        <v>26681.654999999999</v>
      </c>
      <c r="X999" s="5">
        <f>fin_table[[#This Row],[Interest Rate]]*fin_table[[#This Row],[Loan Amount]]</f>
        <v>1085.9433584999999</v>
      </c>
      <c r="Y999">
        <v>17</v>
      </c>
      <c r="Z999" s="3">
        <v>667</v>
      </c>
      <c r="AA999" s="3" t="str">
        <f t="shared" si="109"/>
        <v>Fair</v>
      </c>
      <c r="AB999" s="3" cm="1">
        <f t="array" ref="AB999">_xlfn.IFS(fin_table[[#This Row],[Transaction Status]]="Failed", 1, fin_table[[#This Row],[Transaction Status]]="Completed",0,fin_table[[#This Row],[Transaction Status]]="Pending",2)</f>
        <v>1</v>
      </c>
      <c r="AC999" s="3" t="str">
        <f>IF(fin_table[[#This Row],[Loan Defaulters]]=1,"Default", "Good")</f>
        <v>Default</v>
      </c>
      <c r="AD999" s="3">
        <f t="shared" si="110"/>
        <v>2</v>
      </c>
      <c r="AE999" s="4">
        <v>10955.26</v>
      </c>
      <c r="AF999" s="4" t="str">
        <f>IF(fin_table[[#This Row],[Monthly Income]]&lt;3000, "Low Income", IF(fin_table[[#This Row],[Monthly Income]]&lt;=5000, "Middle Income", "High Income"))</f>
        <v>High Income</v>
      </c>
      <c r="AG999" t="s">
        <v>30</v>
      </c>
      <c r="AH999" t="s">
        <v>3635</v>
      </c>
      <c r="AI999" t="str">
        <f t="shared" si="111"/>
        <v>Low-Risk</v>
      </c>
    </row>
    <row r="1000" spans="1:35" x14ac:dyDescent="0.35">
      <c r="A1000" t="s">
        <v>3584</v>
      </c>
      <c r="B1000" t="s">
        <v>3585</v>
      </c>
      <c r="C1000" t="s">
        <v>3586</v>
      </c>
      <c r="D1000" s="1">
        <v>44930</v>
      </c>
      <c r="E1000" s="1" t="str">
        <f t="shared" si="105"/>
        <v>04</v>
      </c>
      <c r="F1000" s="1" t="str">
        <f t="shared" si="106"/>
        <v>Jan</v>
      </c>
      <c r="G1000" s="6" t="s">
        <v>56</v>
      </c>
      <c r="H1000" s="5">
        <v>9963</v>
      </c>
      <c r="I1000" s="5" t="str">
        <f>IF(fin_table[[#This Row],[Account Balance]]&lt;20000,"Active", "Not Active")</f>
        <v>Not Active</v>
      </c>
      <c r="J1000" s="5">
        <v>40492.97</v>
      </c>
      <c r="K1000" s="5" t="str">
        <f t="shared" si="107"/>
        <v>Medium</v>
      </c>
      <c r="L1000" s="6" t="s">
        <v>24</v>
      </c>
      <c r="M1000">
        <v>19</v>
      </c>
      <c r="N1000" s="6" t="str">
        <f t="shared" si="108"/>
        <v>Young Adults</v>
      </c>
      <c r="O1000" s="6" t="s">
        <v>42</v>
      </c>
      <c r="P1000" s="6" t="s">
        <v>50</v>
      </c>
      <c r="Q1000" t="s">
        <v>3587</v>
      </c>
      <c r="R1000" s="6" t="s">
        <v>38</v>
      </c>
      <c r="S1000" s="6" t="s">
        <v>29</v>
      </c>
      <c r="T1000" s="14">
        <v>3.6400000000000002E-2</v>
      </c>
      <c r="U1000">
        <v>3.64</v>
      </c>
      <c r="V1000" t="str">
        <f>IF(fin_table[[#This Row],[Interest Rate(%)]]&gt;4,"high","low")</f>
        <v>low</v>
      </c>
      <c r="W1000" s="5">
        <v>35988.230000000003</v>
      </c>
      <c r="X1000" s="5">
        <f>fin_table[[#This Row],[Interest Rate]]*fin_table[[#This Row],[Loan Amount]]</f>
        <v>1309.9715720000002</v>
      </c>
      <c r="Y1000">
        <v>8</v>
      </c>
      <c r="Z1000" s="3">
        <v>835</v>
      </c>
      <c r="AA1000" s="3" t="str">
        <f t="shared" si="109"/>
        <v>Excellent</v>
      </c>
      <c r="AB1000" s="3" cm="1">
        <f t="array" ref="AB1000">_xlfn.IFS(fin_table[[#This Row],[Transaction Status]]="Failed", 1, fin_table[[#This Row],[Transaction Status]]="Completed",0,fin_table[[#This Row],[Transaction Status]]="Pending",2)</f>
        <v>1</v>
      </c>
      <c r="AC1000" s="3" t="str">
        <f>IF(fin_table[[#This Row],[Loan Defaulters]]=1,"Default", "Good")</f>
        <v>Default</v>
      </c>
      <c r="AD1000" s="3">
        <f t="shared" si="110"/>
        <v>5</v>
      </c>
      <c r="AE1000" s="4">
        <v>13635.43</v>
      </c>
      <c r="AF1000" s="4" t="str">
        <f>IF(fin_table[[#This Row],[Monthly Income]]&lt;3000, "Low Income", IF(fin_table[[#This Row],[Monthly Income]]&lt;=5000, "Middle Income", "High Income"))</f>
        <v>High Income</v>
      </c>
      <c r="AG1000" t="s">
        <v>45</v>
      </c>
      <c r="AH1000" t="s">
        <v>3636</v>
      </c>
      <c r="AI1000" t="str">
        <f t="shared" si="111"/>
        <v>Low-Risk</v>
      </c>
    </row>
    <row r="1001" spans="1:35" x14ac:dyDescent="0.35">
      <c r="A1001" t="s">
        <v>3588</v>
      </c>
      <c r="B1001" t="s">
        <v>3589</v>
      </c>
      <c r="C1001" t="s">
        <v>3590</v>
      </c>
      <c r="D1001" s="1">
        <v>44854</v>
      </c>
      <c r="E1001" s="1" t="str">
        <f t="shared" si="105"/>
        <v>20</v>
      </c>
      <c r="F1001" s="1" t="str">
        <f t="shared" si="106"/>
        <v>Oct</v>
      </c>
      <c r="G1001" s="6" t="s">
        <v>23</v>
      </c>
      <c r="H1001" s="5">
        <v>2368.8000000000002</v>
      </c>
      <c r="I1001" s="5" t="str">
        <f>IF(fin_table[[#This Row],[Account Balance]]&lt;20000,"Active", "Not Active")</f>
        <v>Not Active</v>
      </c>
      <c r="J1001" s="5">
        <v>30008.83</v>
      </c>
      <c r="K1001" s="5" t="str">
        <f t="shared" si="107"/>
        <v>Medium</v>
      </c>
      <c r="L1001" s="6" t="s">
        <v>100</v>
      </c>
      <c r="M1001">
        <v>47</v>
      </c>
      <c r="N1001" s="6" t="str">
        <f t="shared" si="108"/>
        <v>Older Adults</v>
      </c>
      <c r="O1001" s="6" t="s">
        <v>25</v>
      </c>
      <c r="P1001" s="6" t="s">
        <v>26</v>
      </c>
      <c r="Q1001" t="s">
        <v>1505</v>
      </c>
      <c r="R1001" s="6" t="s">
        <v>28</v>
      </c>
      <c r="S1001" s="6" t="s">
        <v>29</v>
      </c>
      <c r="T1001" s="14">
        <v>2.7799999999999998E-2</v>
      </c>
      <c r="U1001">
        <v>2.78</v>
      </c>
      <c r="V1001" t="str">
        <f>IF(fin_table[[#This Row],[Interest Rate(%)]]&gt;4,"high","low")</f>
        <v>low</v>
      </c>
      <c r="W1001" s="5">
        <v>26681.654999999999</v>
      </c>
      <c r="X1001" s="5">
        <f>fin_table[[#This Row],[Interest Rate]]*fin_table[[#This Row],[Loan Amount]]</f>
        <v>741.75000899999998</v>
      </c>
      <c r="Y1001">
        <v>17</v>
      </c>
      <c r="Z1001" s="3">
        <v>669</v>
      </c>
      <c r="AA1001" s="3" t="str">
        <f t="shared" si="109"/>
        <v>Fair</v>
      </c>
      <c r="AB1001" s="3" cm="1">
        <f t="array" ref="AB1001">_xlfn.IFS(fin_table[[#This Row],[Transaction Status]]="Failed", 1, fin_table[[#This Row],[Transaction Status]]="Completed",0,fin_table[[#This Row],[Transaction Status]]="Pending",2)</f>
        <v>1</v>
      </c>
      <c r="AC1001" s="3" t="str">
        <f>IF(fin_table[[#This Row],[Loan Defaulters]]=1,"Default", "Good")</f>
        <v>Default</v>
      </c>
      <c r="AD1001" s="3">
        <f t="shared" si="110"/>
        <v>2</v>
      </c>
      <c r="AE1001" s="4">
        <v>11091.93</v>
      </c>
      <c r="AF1001" s="4" t="str">
        <f>IF(fin_table[[#This Row],[Monthly Income]]&lt;3000, "Low Income", IF(fin_table[[#This Row],[Monthly Income]]&lt;=5000, "Middle Income", "High Income"))</f>
        <v>High Income</v>
      </c>
      <c r="AG1001" t="s">
        <v>63</v>
      </c>
      <c r="AH1001" t="s">
        <v>3635</v>
      </c>
      <c r="AI1001" t="str">
        <f t="shared" si="111"/>
        <v>Low-Risk</v>
      </c>
    </row>
    <row r="1002" spans="1:35" x14ac:dyDescent="0.35">
      <c r="D1002" s="1"/>
      <c r="E1002" s="1"/>
      <c r="F1002" s="1"/>
      <c r="G1002" s="6"/>
      <c r="H1002" s="12"/>
      <c r="I1002" s="12"/>
      <c r="J1002" s="12"/>
      <c r="K1002" s="12"/>
      <c r="L1002" s="6"/>
      <c r="N1002" s="6"/>
      <c r="O1002" s="6"/>
      <c r="P1002" s="6"/>
      <c r="R1002" s="6"/>
      <c r="S1002" s="6"/>
      <c r="T1002" s="2">
        <f>SUBTOTAL(104,fin_table[Interest Rate])</f>
        <v>0.05</v>
      </c>
      <c r="U1002" s="2">
        <f>SUBTOTAL(101,fin_table[Interest Rate(%)])</f>
        <v>2.7264410000000017</v>
      </c>
      <c r="V1002" s="2"/>
      <c r="W1002" s="12">
        <f>SUBTOTAL(104,fin_table[Loan Amount])</f>
        <v>49983.6</v>
      </c>
      <c r="X1002" s="12">
        <f>SUBTOTAL(104,fin_table[Interest income])</f>
        <v>2279.2262759999999</v>
      </c>
      <c r="Z1002" s="3"/>
      <c r="AA1002" s="3"/>
      <c r="AB1002" s="3"/>
      <c r="AC1002">
        <f>SUBTOTAL(103,fin_table[[loan Default ]])</f>
        <v>1000</v>
      </c>
      <c r="AD1002" s="3"/>
      <c r="AE1002" s="4"/>
      <c r="AF1002" s="4"/>
      <c r="AI1002">
        <f>SUBTOTAL(104,fin_table[Risk Level])</f>
        <v>0</v>
      </c>
    </row>
  </sheetData>
  <phoneticPr fontId="2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59E54-E750-41CB-83D3-52C4C39EAC80}">
  <sheetPr>
    <tabColor theme="3" tint="0.499984740745262"/>
  </sheetPr>
  <dimension ref="A1:T88"/>
  <sheetViews>
    <sheetView showGridLines="0" topLeftCell="A91" zoomScale="86" zoomScaleNormal="51" workbookViewId="0">
      <selection activeCell="E21" sqref="E21"/>
    </sheetView>
  </sheetViews>
  <sheetFormatPr defaultRowHeight="14.5" x14ac:dyDescent="0.35"/>
  <cols>
    <col min="2" max="2" width="12.26953125" bestFit="1" customWidth="1"/>
    <col min="3" max="3" width="14.1796875" bestFit="1" customWidth="1"/>
    <col min="4" max="4" width="14.7265625" customWidth="1"/>
    <col min="5" max="5" width="11.26953125" bestFit="1" customWidth="1"/>
    <col min="6" max="6" width="15.1796875" customWidth="1"/>
    <col min="7" max="7" width="14.1796875" bestFit="1" customWidth="1"/>
    <col min="8" max="10" width="16.26953125" bestFit="1" customWidth="1"/>
    <col min="11" max="11" width="10.6328125" bestFit="1" customWidth="1"/>
    <col min="19" max="19" width="11.1796875" bestFit="1" customWidth="1"/>
  </cols>
  <sheetData>
    <row r="1" spans="1:10" x14ac:dyDescent="0.35">
      <c r="A1" s="71" t="s">
        <v>3612</v>
      </c>
      <c r="B1" s="71"/>
      <c r="C1" s="71"/>
      <c r="D1" s="71"/>
      <c r="E1" s="71"/>
      <c r="F1" s="71"/>
      <c r="G1" s="71"/>
    </row>
    <row r="2" spans="1:10" x14ac:dyDescent="0.35">
      <c r="A2" s="71"/>
      <c r="B2" s="71"/>
      <c r="C2" s="71"/>
      <c r="D2" s="71"/>
      <c r="E2" s="71"/>
      <c r="F2" s="71"/>
      <c r="G2" s="71"/>
    </row>
    <row r="3" spans="1:10" x14ac:dyDescent="0.35">
      <c r="A3" s="71"/>
      <c r="B3" s="71"/>
      <c r="C3" s="71"/>
      <c r="D3" s="71"/>
      <c r="E3" s="71"/>
      <c r="F3" s="71"/>
      <c r="G3" s="71"/>
    </row>
    <row r="4" spans="1:10" x14ac:dyDescent="0.35">
      <c r="A4" s="71"/>
      <c r="B4" s="71"/>
      <c r="C4" s="71"/>
      <c r="D4" s="71"/>
      <c r="E4" s="71"/>
      <c r="F4" s="71"/>
      <c r="G4" s="71"/>
    </row>
    <row r="5" spans="1:10" x14ac:dyDescent="0.35">
      <c r="A5" s="71"/>
      <c r="B5" s="71"/>
      <c r="C5" s="71"/>
      <c r="D5" s="71"/>
      <c r="E5" s="71"/>
      <c r="F5" s="71"/>
      <c r="G5" s="71"/>
    </row>
    <row r="6" spans="1:10" x14ac:dyDescent="0.35">
      <c r="A6" s="71"/>
      <c r="B6" s="71"/>
      <c r="C6" s="71"/>
      <c r="D6" s="71"/>
      <c r="E6" s="71"/>
      <c r="F6" s="71"/>
      <c r="G6" s="71"/>
    </row>
    <row r="7" spans="1:10" x14ac:dyDescent="0.35">
      <c r="A7" s="71"/>
      <c r="B7" s="71"/>
      <c r="C7" s="71"/>
      <c r="D7" s="71"/>
      <c r="E7" s="71"/>
      <c r="F7" s="71"/>
      <c r="G7" s="71"/>
    </row>
    <row r="8" spans="1:10" x14ac:dyDescent="0.35">
      <c r="A8" s="71"/>
      <c r="B8" s="71"/>
      <c r="C8" s="71"/>
      <c r="D8" s="71"/>
      <c r="E8" s="71"/>
      <c r="F8" s="71"/>
      <c r="G8" s="71"/>
    </row>
    <row r="10" spans="1:10" ht="28" customHeight="1" x14ac:dyDescent="0.35"/>
    <row r="11" spans="1:10" x14ac:dyDescent="0.35">
      <c r="B11" s="136" t="s">
        <v>3613</v>
      </c>
      <c r="C11" s="136"/>
      <c r="D11" s="136"/>
      <c r="E11" s="136"/>
      <c r="F11" s="136"/>
      <c r="G11" s="136"/>
      <c r="H11" s="136"/>
      <c r="I11" s="136"/>
      <c r="J11" s="136"/>
    </row>
    <row r="12" spans="1:10" x14ac:dyDescent="0.35">
      <c r="B12" s="136"/>
      <c r="C12" s="136"/>
      <c r="D12" s="136"/>
      <c r="E12" s="136"/>
      <c r="F12" s="136"/>
      <c r="G12" s="136"/>
      <c r="H12" s="136"/>
      <c r="I12" s="136"/>
      <c r="J12" s="136"/>
    </row>
    <row r="13" spans="1:10" x14ac:dyDescent="0.35">
      <c r="B13" s="80"/>
      <c r="C13" s="80"/>
      <c r="D13" s="80"/>
      <c r="E13" s="80"/>
      <c r="F13" s="80"/>
      <c r="G13" s="80"/>
      <c r="H13" s="80"/>
      <c r="I13" s="80"/>
      <c r="J13" s="80"/>
    </row>
    <row r="15" spans="1:10" x14ac:dyDescent="0.35">
      <c r="B15" s="76" t="s">
        <v>3592</v>
      </c>
      <c r="C15" s="76"/>
    </row>
    <row r="16" spans="1:10" x14ac:dyDescent="0.35">
      <c r="B16" s="76"/>
      <c r="C16" s="76"/>
    </row>
    <row r="18" spans="2:3" x14ac:dyDescent="0.35">
      <c r="B18" s="11" t="s">
        <v>3594</v>
      </c>
      <c r="C18" s="11" t="s">
        <v>3593</v>
      </c>
    </row>
    <row r="19" spans="2:3" x14ac:dyDescent="0.35">
      <c r="B19" t="str" cm="1">
        <f t="array" ref="B19:B23">_xlfn.UNIQUE(fin_table[Customer Age Group])</f>
        <v>Adults</v>
      </c>
      <c r="C19">
        <f>COUNTIF(fin_table[],B19)</f>
        <v>213</v>
      </c>
    </row>
    <row r="20" spans="2:3" x14ac:dyDescent="0.35">
      <c r="B20" t="str">
        <v>Middle-Aged</v>
      </c>
      <c r="C20">
        <f>COUNTIF(fin_table[],B20)</f>
        <v>196</v>
      </c>
    </row>
    <row r="21" spans="2:3" x14ac:dyDescent="0.35">
      <c r="B21" t="str">
        <v>Older Adults</v>
      </c>
      <c r="C21">
        <f>COUNTIF(fin_table[],B21)</f>
        <v>268</v>
      </c>
    </row>
    <row r="22" spans="2:3" x14ac:dyDescent="0.35">
      <c r="B22" t="str">
        <v>Seniors</v>
      </c>
      <c r="C22">
        <f>COUNTIF(fin_table[],B22)</f>
        <v>166</v>
      </c>
    </row>
    <row r="23" spans="2:3" x14ac:dyDescent="0.35">
      <c r="B23" t="str">
        <v>Young Adults</v>
      </c>
      <c r="C23">
        <f>COUNTIF(fin_table[],B23)</f>
        <v>157</v>
      </c>
    </row>
    <row r="30" spans="2:3" ht="14.5" customHeight="1" x14ac:dyDescent="0.35">
      <c r="B30" s="77" t="s">
        <v>3595</v>
      </c>
      <c r="C30" s="77"/>
    </row>
    <row r="31" spans="2:3" ht="14.5" customHeight="1" x14ac:dyDescent="0.35">
      <c r="B31" s="77"/>
      <c r="C31" s="77"/>
    </row>
    <row r="32" spans="2:3" x14ac:dyDescent="0.35">
      <c r="B32" s="8" t="s">
        <v>3596</v>
      </c>
      <c r="C32" s="8"/>
    </row>
    <row r="33" spans="2:7" x14ac:dyDescent="0.35">
      <c r="B33" s="7" t="s">
        <v>3597</v>
      </c>
      <c r="C33" s="7" t="s">
        <v>3593</v>
      </c>
    </row>
    <row r="34" spans="2:7" x14ac:dyDescent="0.35">
      <c r="B34" t="str" cm="1">
        <f t="array" ref="B34:B35">_xlfn.UNIQUE(fin_table[Customer Gender])</f>
        <v>Male</v>
      </c>
      <c r="C34">
        <f>COUNTIF(fin_table[],B34)</f>
        <v>504</v>
      </c>
    </row>
    <row r="35" spans="2:7" x14ac:dyDescent="0.35">
      <c r="B35" t="str">
        <v>Female</v>
      </c>
      <c r="C35">
        <f>COUNTIF(fin_table[],B35)</f>
        <v>496</v>
      </c>
    </row>
    <row r="43" spans="2:7" x14ac:dyDescent="0.35">
      <c r="B43" s="77" t="s">
        <v>3598</v>
      </c>
      <c r="C43" s="77"/>
    </row>
    <row r="44" spans="2:7" x14ac:dyDescent="0.35">
      <c r="B44" s="77"/>
      <c r="C44" s="77"/>
    </row>
    <row r="45" spans="2:7" ht="16" x14ac:dyDescent="0.45">
      <c r="E45" s="75"/>
      <c r="F45" s="75"/>
      <c r="G45" s="75"/>
    </row>
    <row r="46" spans="2:7" x14ac:dyDescent="0.35">
      <c r="B46" s="10" t="s">
        <v>3599</v>
      </c>
      <c r="C46" s="10" t="s">
        <v>3600</v>
      </c>
      <c r="D46" s="10"/>
    </row>
    <row r="47" spans="2:7" x14ac:dyDescent="0.35">
      <c r="B47" t="s">
        <v>45</v>
      </c>
      <c r="C47">
        <v>350</v>
      </c>
      <c r="D47">
        <v>350</v>
      </c>
    </row>
    <row r="48" spans="2:7" x14ac:dyDescent="0.35">
      <c r="B48" t="s">
        <v>30</v>
      </c>
      <c r="C48">
        <v>331</v>
      </c>
      <c r="D48">
        <v>331</v>
      </c>
    </row>
    <row r="49" spans="2:6" x14ac:dyDescent="0.35">
      <c r="B49" t="s">
        <v>63</v>
      </c>
      <c r="C49">
        <v>319</v>
      </c>
      <c r="D49">
        <v>319</v>
      </c>
    </row>
    <row r="64" spans="2:6" x14ac:dyDescent="0.35">
      <c r="B64" s="72" t="s">
        <v>3601</v>
      </c>
      <c r="C64" s="72"/>
      <c r="D64" s="72"/>
      <c r="E64" s="72"/>
      <c r="F64" s="72"/>
    </row>
    <row r="65" spans="2:20" x14ac:dyDescent="0.35">
      <c r="B65" s="72"/>
      <c r="C65" s="72"/>
      <c r="D65" s="72"/>
      <c r="E65" s="72"/>
      <c r="F65" s="72"/>
    </row>
    <row r="66" spans="2:20" x14ac:dyDescent="0.35">
      <c r="B66" s="73"/>
      <c r="C66" s="73"/>
      <c r="D66" s="73"/>
      <c r="E66" s="73"/>
      <c r="F66" s="73"/>
    </row>
    <row r="68" spans="2:20" x14ac:dyDescent="0.35">
      <c r="C68" t="s">
        <v>3608</v>
      </c>
      <c r="H68" s="9"/>
    </row>
    <row r="69" spans="2:20" x14ac:dyDescent="0.35">
      <c r="B69" s="13" t="s">
        <v>3602</v>
      </c>
      <c r="C69" s="14">
        <v>0.21299999999999999</v>
      </c>
    </row>
    <row r="70" spans="2:20" x14ac:dyDescent="0.35">
      <c r="B70" s="13" t="s">
        <v>3603</v>
      </c>
      <c r="C70" s="14">
        <v>0.19600000000000001</v>
      </c>
      <c r="S70" s="13" t="s">
        <v>3604</v>
      </c>
      <c r="T70" s="14">
        <v>0.26800000000000002</v>
      </c>
    </row>
    <row r="71" spans="2:20" x14ac:dyDescent="0.35">
      <c r="B71" s="13" t="s">
        <v>3604</v>
      </c>
      <c r="C71" s="14">
        <v>0.26800000000000002</v>
      </c>
      <c r="S71" s="13" t="s">
        <v>3602</v>
      </c>
      <c r="T71" s="14">
        <v>0.21299999999999999</v>
      </c>
    </row>
    <row r="72" spans="2:20" x14ac:dyDescent="0.35">
      <c r="B72" s="13" t="s">
        <v>3605</v>
      </c>
      <c r="C72" s="14">
        <v>0.16600000000000001</v>
      </c>
      <c r="S72" s="13" t="s">
        <v>3603</v>
      </c>
      <c r="T72" s="14">
        <v>0.19600000000000001</v>
      </c>
    </row>
    <row r="73" spans="2:20" x14ac:dyDescent="0.35">
      <c r="B73" s="13" t="s">
        <v>3606</v>
      </c>
      <c r="C73" s="14">
        <v>0.157</v>
      </c>
      <c r="S73" s="13" t="s">
        <v>3605</v>
      </c>
      <c r="T73" s="14">
        <v>0.16600000000000001</v>
      </c>
    </row>
    <row r="74" spans="2:20" x14ac:dyDescent="0.35">
      <c r="D74" s="12"/>
      <c r="S74" s="13" t="s">
        <v>3606</v>
      </c>
      <c r="T74" s="14">
        <v>0.157</v>
      </c>
    </row>
    <row r="81" spans="2:6" x14ac:dyDescent="0.35">
      <c r="B81" s="72" t="s">
        <v>3609</v>
      </c>
      <c r="C81" s="72"/>
      <c r="D81" s="72"/>
      <c r="E81" s="72"/>
      <c r="F81" s="72"/>
    </row>
    <row r="82" spans="2:6" x14ac:dyDescent="0.35">
      <c r="B82" s="72"/>
      <c r="C82" s="72"/>
      <c r="D82" s="72"/>
      <c r="E82" s="72"/>
      <c r="F82" s="72"/>
    </row>
    <row r="83" spans="2:6" x14ac:dyDescent="0.35">
      <c r="B83" s="73"/>
      <c r="C83" s="73"/>
      <c r="D83" s="73"/>
      <c r="E83" s="73"/>
      <c r="F83" s="73"/>
    </row>
    <row r="85" spans="2:6" x14ac:dyDescent="0.35">
      <c r="B85" s="17" t="s">
        <v>10</v>
      </c>
      <c r="C85" s="17" t="s">
        <v>3610</v>
      </c>
    </row>
    <row r="86" spans="2:6" x14ac:dyDescent="0.35">
      <c r="B86" t="str" cm="1">
        <f t="array" ref="B86:B88">_xlfn.UNIQUE(fin_table[Account Type])</f>
        <v>Checking</v>
      </c>
      <c r="C86" s="16">
        <f>AVERAGEIF(fin_table[Account Type],B86,fin_table[Monthly Income])</f>
        <v>8654.1474202898517</v>
      </c>
    </row>
    <row r="87" spans="2:6" x14ac:dyDescent="0.35">
      <c r="B87" t="str">
        <v>Credit</v>
      </c>
      <c r="C87" s="16">
        <f>AVERAGEIF(fin_table[Account Type],B87,fin_table[Monthly Income])</f>
        <v>8587.2942274052493</v>
      </c>
    </row>
    <row r="88" spans="2:6" x14ac:dyDescent="0.35">
      <c r="B88" t="str">
        <v>Savings</v>
      </c>
      <c r="C88" s="16">
        <f>AVERAGEIF(fin_table[Account Type],B88,fin_table[Monthly Income])</f>
        <v>7918.9898397435927</v>
      </c>
    </row>
  </sheetData>
  <mergeCells count="8">
    <mergeCell ref="A1:G8"/>
    <mergeCell ref="B81:F83"/>
    <mergeCell ref="B11:J13"/>
    <mergeCell ref="B64:F66"/>
    <mergeCell ref="E45:G45"/>
    <mergeCell ref="B15:C16"/>
    <mergeCell ref="B30:C31"/>
    <mergeCell ref="B43:C44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7602D-F029-4622-B80B-E95901ECAAA3}">
  <sheetPr>
    <tabColor theme="4" tint="-0.499984740745262"/>
  </sheetPr>
  <dimension ref="B3:H74"/>
  <sheetViews>
    <sheetView showGridLines="0" topLeftCell="A42" zoomScale="91" zoomScaleNormal="100" workbookViewId="0">
      <selection activeCell="C58" sqref="C58"/>
    </sheetView>
  </sheetViews>
  <sheetFormatPr defaultRowHeight="14.5" x14ac:dyDescent="0.35"/>
  <cols>
    <col min="2" max="2" width="9.90625" bestFit="1" customWidth="1"/>
    <col min="3" max="3" width="16.26953125" bestFit="1" customWidth="1"/>
    <col min="6" max="6" width="15.26953125" bestFit="1" customWidth="1"/>
    <col min="7" max="7" width="11.54296875" bestFit="1" customWidth="1"/>
    <col min="8" max="8" width="9.1796875" customWidth="1"/>
  </cols>
  <sheetData>
    <row r="3" spans="2:8" ht="14.5" customHeight="1" x14ac:dyDescent="0.35">
      <c r="B3" s="82" t="s">
        <v>3620</v>
      </c>
      <c r="C3" s="82"/>
      <c r="D3" s="82"/>
      <c r="E3" s="82"/>
      <c r="F3" s="82"/>
      <c r="G3" s="24"/>
    </row>
    <row r="4" spans="2:8" ht="14.5" customHeight="1" x14ac:dyDescent="0.35">
      <c r="B4" s="82"/>
      <c r="C4" s="82"/>
      <c r="D4" s="82"/>
      <c r="E4" s="82"/>
      <c r="F4" s="82"/>
      <c r="G4" s="24"/>
    </row>
    <row r="5" spans="2:8" ht="14.5" customHeight="1" x14ac:dyDescent="0.35">
      <c r="B5" s="82"/>
      <c r="C5" s="82"/>
      <c r="D5" s="82"/>
      <c r="E5" s="82"/>
      <c r="F5" s="82"/>
      <c r="G5" s="24"/>
    </row>
    <row r="6" spans="2:8" ht="14.5" customHeight="1" x14ac:dyDescent="0.35">
      <c r="B6" s="82"/>
      <c r="C6" s="82"/>
      <c r="D6" s="82"/>
      <c r="E6" s="82"/>
      <c r="F6" s="82"/>
      <c r="G6" s="24"/>
    </row>
    <row r="7" spans="2:8" ht="14.5" customHeight="1" x14ac:dyDescent="0.35">
      <c r="B7" s="82"/>
      <c r="C7" s="82"/>
      <c r="D7" s="82"/>
      <c r="E7" s="82"/>
      <c r="F7" s="82"/>
      <c r="G7" s="24"/>
    </row>
    <row r="8" spans="2:8" ht="14.5" customHeight="1" x14ac:dyDescent="0.35">
      <c r="B8" s="82"/>
      <c r="C8" s="82"/>
      <c r="D8" s="82"/>
      <c r="E8" s="82"/>
      <c r="F8" s="82"/>
      <c r="G8" s="24"/>
    </row>
    <row r="11" spans="2:8" x14ac:dyDescent="0.35">
      <c r="B11" s="74" t="s">
        <v>3611</v>
      </c>
      <c r="C11" s="74"/>
      <c r="D11" s="74"/>
      <c r="E11" s="74"/>
      <c r="F11" s="74"/>
      <c r="G11" s="74"/>
      <c r="H11" s="74"/>
    </row>
    <row r="12" spans="2:8" x14ac:dyDescent="0.35">
      <c r="B12" s="80"/>
      <c r="C12" s="80"/>
      <c r="D12" s="80"/>
      <c r="E12" s="80"/>
      <c r="F12" s="80"/>
      <c r="G12" s="80"/>
      <c r="H12" s="80"/>
    </row>
    <row r="14" spans="2:8" x14ac:dyDescent="0.35">
      <c r="B14" s="20" t="s">
        <v>3615</v>
      </c>
      <c r="F14" s="20" t="s">
        <v>3616</v>
      </c>
    </row>
    <row r="16" spans="2:8" x14ac:dyDescent="0.35">
      <c r="C16" t="s">
        <v>3619</v>
      </c>
      <c r="D16" s="18" t="s">
        <v>3614</v>
      </c>
      <c r="F16" s="21" t="s">
        <v>3617</v>
      </c>
      <c r="G16" s="21" t="s">
        <v>3618</v>
      </c>
      <c r="H16" s="18"/>
    </row>
    <row r="17" spans="2:8" x14ac:dyDescent="0.35">
      <c r="B17" s="13" t="s">
        <v>125</v>
      </c>
      <c r="C17">
        <v>205</v>
      </c>
      <c r="D17" s="19">
        <v>205</v>
      </c>
      <c r="F17" s="22" t="s">
        <v>100</v>
      </c>
      <c r="G17" s="23">
        <v>205</v>
      </c>
      <c r="H17">
        <v>205</v>
      </c>
    </row>
    <row r="18" spans="2:8" x14ac:dyDescent="0.35">
      <c r="B18" s="13" t="s">
        <v>100</v>
      </c>
      <c r="C18">
        <v>205</v>
      </c>
      <c r="D18">
        <v>205</v>
      </c>
      <c r="F18" s="22" t="s">
        <v>125</v>
      </c>
      <c r="G18" s="23">
        <v>205</v>
      </c>
      <c r="H18">
        <v>205</v>
      </c>
    </row>
    <row r="19" spans="2:8" x14ac:dyDescent="0.35">
      <c r="B19" s="13" t="s">
        <v>35</v>
      </c>
      <c r="C19">
        <v>204</v>
      </c>
      <c r="D19" s="19">
        <v>204</v>
      </c>
      <c r="F19" s="22" t="s">
        <v>35</v>
      </c>
      <c r="G19" s="23">
        <v>204</v>
      </c>
      <c r="H19">
        <v>204</v>
      </c>
    </row>
    <row r="20" spans="2:8" x14ac:dyDescent="0.35">
      <c r="B20" s="13" t="s">
        <v>49</v>
      </c>
      <c r="C20">
        <v>199</v>
      </c>
      <c r="D20">
        <v>199</v>
      </c>
      <c r="F20" s="22" t="s">
        <v>49</v>
      </c>
      <c r="G20" s="23">
        <v>199</v>
      </c>
      <c r="H20">
        <v>199</v>
      </c>
    </row>
    <row r="21" spans="2:8" x14ac:dyDescent="0.35">
      <c r="B21" s="13" t="s">
        <v>24</v>
      </c>
      <c r="C21">
        <v>187</v>
      </c>
      <c r="D21" s="19">
        <v>187</v>
      </c>
      <c r="F21" s="22" t="s">
        <v>24</v>
      </c>
      <c r="G21" s="23">
        <v>187</v>
      </c>
      <c r="H21">
        <v>187</v>
      </c>
    </row>
    <row r="26" spans="2:8" x14ac:dyDescent="0.35">
      <c r="B26" s="79" t="s">
        <v>3621</v>
      </c>
      <c r="C26" s="79"/>
      <c r="D26" s="79"/>
      <c r="E26" s="79"/>
      <c r="F26" s="79"/>
      <c r="G26" s="79"/>
      <c r="H26" s="79"/>
    </row>
    <row r="27" spans="2:8" x14ac:dyDescent="0.35">
      <c r="B27" s="81"/>
      <c r="C27" s="81"/>
      <c r="D27" s="81"/>
      <c r="E27" s="81"/>
      <c r="F27" s="81"/>
      <c r="G27" s="81"/>
      <c r="H27" s="81"/>
    </row>
    <row r="29" spans="2:8" x14ac:dyDescent="0.35">
      <c r="B29" s="78" t="s">
        <v>3622</v>
      </c>
      <c r="C29" s="78"/>
    </row>
    <row r="30" spans="2:8" x14ac:dyDescent="0.35">
      <c r="E30" s="25"/>
    </row>
    <row r="31" spans="2:8" x14ac:dyDescent="0.35">
      <c r="C31" t="s">
        <v>3623</v>
      </c>
    </row>
    <row r="32" spans="2:8" x14ac:dyDescent="0.35">
      <c r="B32" s="13" t="s">
        <v>71</v>
      </c>
      <c r="C32">
        <v>242</v>
      </c>
    </row>
    <row r="33" spans="2:3" x14ac:dyDescent="0.35">
      <c r="B33" s="13" t="s">
        <v>23</v>
      </c>
      <c r="C33">
        <v>273</v>
      </c>
    </row>
    <row r="34" spans="2:3" x14ac:dyDescent="0.35">
      <c r="B34" s="13" t="s">
        <v>56</v>
      </c>
      <c r="C34">
        <v>224</v>
      </c>
    </row>
    <row r="35" spans="2:3" x14ac:dyDescent="0.35">
      <c r="B35" s="13" t="s">
        <v>34</v>
      </c>
      <c r="C35">
        <v>261</v>
      </c>
    </row>
    <row r="45" spans="2:3" x14ac:dyDescent="0.35">
      <c r="B45" s="79" t="s">
        <v>3625</v>
      </c>
      <c r="C45" s="72"/>
    </row>
    <row r="46" spans="2:3" x14ac:dyDescent="0.35">
      <c r="B46" s="72"/>
      <c r="C46" s="72"/>
    </row>
    <row r="47" spans="2:3" x14ac:dyDescent="0.35">
      <c r="B47" s="72"/>
      <c r="C47" s="72"/>
    </row>
    <row r="48" spans="2:3" x14ac:dyDescent="0.35">
      <c r="B48" s="15" t="s">
        <v>3624</v>
      </c>
      <c r="C48" s="15" t="s">
        <v>3600</v>
      </c>
    </row>
    <row r="49" spans="2:3" x14ac:dyDescent="0.35">
      <c r="C49" t="s">
        <v>3607</v>
      </c>
    </row>
    <row r="50" spans="2:3" x14ac:dyDescent="0.35">
      <c r="B50" s="13" t="s">
        <v>355</v>
      </c>
      <c r="C50">
        <v>6</v>
      </c>
    </row>
    <row r="51" spans="2:3" x14ac:dyDescent="0.35">
      <c r="B51" s="13" t="s">
        <v>72</v>
      </c>
      <c r="C51">
        <v>5</v>
      </c>
    </row>
    <row r="52" spans="2:3" x14ac:dyDescent="0.35">
      <c r="B52" s="13" t="s">
        <v>351</v>
      </c>
      <c r="C52">
        <v>5</v>
      </c>
    </row>
    <row r="53" spans="2:3" x14ac:dyDescent="0.35">
      <c r="B53" s="13" t="s">
        <v>601</v>
      </c>
      <c r="C53">
        <v>5</v>
      </c>
    </row>
    <row r="54" spans="2:3" x14ac:dyDescent="0.35">
      <c r="B54" s="13" t="s">
        <v>493</v>
      </c>
      <c r="C54">
        <v>5</v>
      </c>
    </row>
    <row r="55" spans="2:3" x14ac:dyDescent="0.35">
      <c r="B55" s="13" t="s">
        <v>516</v>
      </c>
      <c r="C55">
        <v>4</v>
      </c>
    </row>
    <row r="56" spans="2:3" x14ac:dyDescent="0.35">
      <c r="B56" s="13" t="s">
        <v>367</v>
      </c>
      <c r="C56">
        <v>4</v>
      </c>
    </row>
    <row r="57" spans="2:3" x14ac:dyDescent="0.35">
      <c r="B57" s="13" t="s">
        <v>391</v>
      </c>
      <c r="C57">
        <v>4</v>
      </c>
    </row>
    <row r="58" spans="2:3" x14ac:dyDescent="0.35">
      <c r="B58" s="13" t="s">
        <v>92</v>
      </c>
      <c r="C58">
        <v>4</v>
      </c>
    </row>
    <row r="59" spans="2:3" x14ac:dyDescent="0.35">
      <c r="B59" s="13" t="s">
        <v>1128</v>
      </c>
      <c r="C59">
        <v>4</v>
      </c>
    </row>
    <row r="60" spans="2:3" x14ac:dyDescent="0.35">
      <c r="B60" s="13" t="s">
        <v>2199</v>
      </c>
      <c r="C60">
        <v>4</v>
      </c>
    </row>
    <row r="61" spans="2:3" x14ac:dyDescent="0.35">
      <c r="B61" s="13" t="s">
        <v>538</v>
      </c>
      <c r="C61">
        <v>4</v>
      </c>
    </row>
    <row r="62" spans="2:3" x14ac:dyDescent="0.35">
      <c r="B62" s="13" t="s">
        <v>469</v>
      </c>
      <c r="C62">
        <v>4</v>
      </c>
    </row>
    <row r="63" spans="2:3" x14ac:dyDescent="0.35">
      <c r="B63" s="13" t="s">
        <v>57</v>
      </c>
      <c r="C63">
        <v>4</v>
      </c>
    </row>
    <row r="64" spans="2:3" x14ac:dyDescent="0.35">
      <c r="B64" s="13" t="s">
        <v>150</v>
      </c>
      <c r="C64">
        <v>4</v>
      </c>
    </row>
    <row r="65" spans="2:3" x14ac:dyDescent="0.35">
      <c r="B65" s="13" t="s">
        <v>113</v>
      </c>
      <c r="C65">
        <v>4</v>
      </c>
    </row>
    <row r="66" spans="2:3" x14ac:dyDescent="0.35">
      <c r="B66" s="13" t="s">
        <v>634</v>
      </c>
      <c r="C66">
        <v>4</v>
      </c>
    </row>
    <row r="67" spans="2:3" x14ac:dyDescent="0.35">
      <c r="B67" s="13" t="s">
        <v>1411</v>
      </c>
      <c r="C67">
        <v>4</v>
      </c>
    </row>
    <row r="68" spans="2:3" x14ac:dyDescent="0.35">
      <c r="B68" s="13" t="s">
        <v>1294</v>
      </c>
      <c r="C68">
        <v>4</v>
      </c>
    </row>
    <row r="69" spans="2:3" x14ac:dyDescent="0.35">
      <c r="B69" s="13" t="s">
        <v>682</v>
      </c>
      <c r="C69">
        <v>4</v>
      </c>
    </row>
    <row r="70" spans="2:3" x14ac:dyDescent="0.35">
      <c r="B70" s="13" t="s">
        <v>1512</v>
      </c>
      <c r="C70">
        <v>4</v>
      </c>
    </row>
    <row r="71" spans="2:3" x14ac:dyDescent="0.35">
      <c r="B71" s="13" t="s">
        <v>505</v>
      </c>
      <c r="C71">
        <v>4</v>
      </c>
    </row>
    <row r="72" spans="2:3" x14ac:dyDescent="0.35">
      <c r="B72" s="13" t="s">
        <v>438</v>
      </c>
      <c r="C72">
        <v>4</v>
      </c>
    </row>
    <row r="73" spans="2:3" x14ac:dyDescent="0.35">
      <c r="B73" s="13" t="s">
        <v>566</v>
      </c>
      <c r="C73">
        <v>4</v>
      </c>
    </row>
    <row r="74" spans="2:3" x14ac:dyDescent="0.35">
      <c r="B74" s="13" t="s">
        <v>1268</v>
      </c>
      <c r="C74">
        <v>4</v>
      </c>
    </row>
  </sheetData>
  <mergeCells count="6">
    <mergeCell ref="B29:C29"/>
    <mergeCell ref="B45:C47"/>
    <mergeCell ref="B11:H12"/>
    <mergeCell ref="B26:H27"/>
    <mergeCell ref="B3:F7"/>
    <mergeCell ref="B8:F8"/>
  </mergeCells>
  <conditionalFormatting sqref="H17:H21">
    <cfRule type="dataBar" priority="1">
      <dataBar showValue="0">
        <cfvo type="min"/>
        <cfvo type="max"/>
        <color rgb="FFFFB628"/>
      </dataBar>
      <extLst>
        <ext xmlns:x14="http://schemas.microsoft.com/office/spreadsheetml/2009/9/main" uri="{B025F937-C7B1-47D3-B67F-A62EFF666E3E}">
          <x14:id>{68CF9228-4587-433A-8348-446B3E9A5F85}</x14:id>
        </ext>
      </extLst>
    </cfRule>
  </conditionalFormatting>
  <pageMargins left="0.7" right="0.7" top="0.75" bottom="0.75" header="0.3" footer="0.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AD512A20-4D99-4E31-9143-A305A9143CA1}">
            <x14:iconSet iconSet="3Stars" showValue="0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D17:D21</xm:sqref>
        </x14:conditionalFormatting>
        <x14:conditionalFormatting xmlns:xm="http://schemas.microsoft.com/office/excel/2006/main">
          <x14:cfRule type="dataBar" id="{68CF9228-4587-433A-8348-446B3E9A5F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H17:H21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67716-D805-474F-AAE3-7D2F1C040688}">
  <sheetPr>
    <tabColor rgb="FFFFFF00"/>
  </sheetPr>
  <dimension ref="B3:J37"/>
  <sheetViews>
    <sheetView showGridLines="0" zoomScale="66" workbookViewId="0">
      <selection activeCell="C18" sqref="C18"/>
    </sheetView>
  </sheetViews>
  <sheetFormatPr defaultRowHeight="14.5" x14ac:dyDescent="0.35"/>
  <cols>
    <col min="2" max="3" width="12.7265625" bestFit="1" customWidth="1"/>
    <col min="4" max="4" width="14.26953125" bestFit="1" customWidth="1"/>
    <col min="5" max="5" width="15.81640625" bestFit="1" customWidth="1"/>
  </cols>
  <sheetData>
    <row r="3" spans="2:10" ht="14.5" customHeight="1" x14ac:dyDescent="0.35">
      <c r="B3" s="84" t="s">
        <v>3626</v>
      </c>
      <c r="C3" s="84"/>
      <c r="D3" s="84"/>
      <c r="E3" s="84"/>
      <c r="F3" s="84"/>
      <c r="G3" s="84"/>
      <c r="H3" s="85"/>
      <c r="I3" s="85"/>
    </row>
    <row r="4" spans="2:10" ht="14.5" customHeight="1" x14ac:dyDescent="0.35">
      <c r="B4" s="84"/>
      <c r="C4" s="84"/>
      <c r="D4" s="84"/>
      <c r="E4" s="84"/>
      <c r="F4" s="84"/>
      <c r="G4" s="84"/>
      <c r="H4" s="85"/>
      <c r="I4" s="85"/>
    </row>
    <row r="5" spans="2:10" ht="14.5" customHeight="1" x14ac:dyDescent="0.35">
      <c r="B5" s="84"/>
      <c r="C5" s="84"/>
      <c r="D5" s="84"/>
      <c r="E5" s="84"/>
      <c r="F5" s="84"/>
      <c r="G5" s="84"/>
      <c r="H5" s="85"/>
      <c r="I5" s="85"/>
    </row>
    <row r="6" spans="2:10" ht="14.5" customHeight="1" x14ac:dyDescent="0.35">
      <c r="B6" s="84"/>
      <c r="C6" s="84"/>
      <c r="D6" s="84"/>
      <c r="E6" s="84"/>
      <c r="F6" s="84"/>
      <c r="G6" s="84"/>
      <c r="H6" s="85"/>
      <c r="I6" s="85"/>
    </row>
    <row r="7" spans="2:10" ht="14.5" customHeight="1" x14ac:dyDescent="0.35">
      <c r="B7" s="84"/>
      <c r="C7" s="84"/>
      <c r="D7" s="84"/>
      <c r="E7" s="84"/>
      <c r="F7" s="84"/>
      <c r="G7" s="84"/>
      <c r="H7" s="85"/>
      <c r="I7" s="85"/>
    </row>
    <row r="10" spans="2:10" x14ac:dyDescent="0.35">
      <c r="B10" s="83" t="s">
        <v>3627</v>
      </c>
      <c r="C10" s="79"/>
      <c r="D10" s="79"/>
      <c r="E10" s="79"/>
      <c r="F10" s="79"/>
      <c r="G10" s="79"/>
      <c r="H10" s="79"/>
      <c r="I10" s="79"/>
    </row>
    <row r="11" spans="2:10" x14ac:dyDescent="0.35">
      <c r="B11" s="81"/>
      <c r="C11" s="81"/>
      <c r="D11" s="81"/>
      <c r="E11" s="81"/>
      <c r="F11" s="81"/>
      <c r="G11" s="81"/>
      <c r="H11" s="81"/>
      <c r="I11" s="81"/>
    </row>
    <row r="13" spans="2:10" x14ac:dyDescent="0.35">
      <c r="B13" s="27" t="s">
        <v>3607</v>
      </c>
    </row>
    <row r="14" spans="2:10" x14ac:dyDescent="0.35">
      <c r="C14" t="s">
        <v>3629</v>
      </c>
      <c r="D14" t="s">
        <v>3630</v>
      </c>
    </row>
    <row r="15" spans="2:10" x14ac:dyDescent="0.35">
      <c r="B15" s="13" t="s">
        <v>125</v>
      </c>
      <c r="C15" s="12">
        <v>778112.9600000002</v>
      </c>
      <c r="D15" s="12">
        <v>4343315.8100000005</v>
      </c>
    </row>
    <row r="16" spans="2:10" x14ac:dyDescent="0.35">
      <c r="B16" s="13" t="s">
        <v>24</v>
      </c>
      <c r="C16" s="12">
        <v>728464.48999999964</v>
      </c>
      <c r="D16" s="12">
        <v>4097139.6500000008</v>
      </c>
      <c r="J16" s="26"/>
    </row>
    <row r="17" spans="2:8" x14ac:dyDescent="0.35">
      <c r="B17" s="13" t="s">
        <v>35</v>
      </c>
      <c r="C17" s="12">
        <v>793903.43000000028</v>
      </c>
      <c r="D17" s="12">
        <v>4728342.129999999</v>
      </c>
    </row>
    <row r="18" spans="2:8" x14ac:dyDescent="0.35">
      <c r="B18" s="13" t="s">
        <v>49</v>
      </c>
      <c r="C18" s="12">
        <v>778305.18</v>
      </c>
      <c r="D18" s="12">
        <v>4179413.06</v>
      </c>
    </row>
    <row r="19" spans="2:8" x14ac:dyDescent="0.35">
      <c r="B19" s="13" t="s">
        <v>100</v>
      </c>
      <c r="C19" s="12">
        <v>902717.00999999989</v>
      </c>
      <c r="D19" s="12">
        <v>4241288.8199999984</v>
      </c>
    </row>
    <row r="31" spans="2:8" x14ac:dyDescent="0.35">
      <c r="B31" s="83" t="s">
        <v>3633</v>
      </c>
      <c r="C31" s="79"/>
      <c r="D31" s="79"/>
      <c r="E31" s="79"/>
      <c r="F31" s="79"/>
      <c r="G31" s="79"/>
      <c r="H31" s="79"/>
    </row>
    <row r="32" spans="2:8" x14ac:dyDescent="0.35">
      <c r="B32" s="81"/>
      <c r="C32" s="81"/>
      <c r="D32" s="81"/>
      <c r="E32" s="81"/>
      <c r="F32" s="81"/>
      <c r="G32" s="81"/>
      <c r="H32" s="81"/>
    </row>
    <row r="33" spans="2:8" x14ac:dyDescent="0.35">
      <c r="B33" s="43"/>
      <c r="C33" s="43"/>
      <c r="D33" s="43"/>
      <c r="E33" s="43"/>
      <c r="F33" s="43"/>
      <c r="G33" s="43"/>
      <c r="H33" s="43"/>
    </row>
    <row r="34" spans="2:8" x14ac:dyDescent="0.35">
      <c r="B34" s="43"/>
      <c r="C34" s="43"/>
      <c r="D34" s="43"/>
      <c r="E34" s="43"/>
      <c r="F34" s="43"/>
      <c r="G34" s="43"/>
      <c r="H34" s="43"/>
    </row>
    <row r="35" spans="2:8" x14ac:dyDescent="0.35">
      <c r="B35" s="29" t="s">
        <v>3634</v>
      </c>
      <c r="C35" s="29" t="s">
        <v>3618</v>
      </c>
    </row>
    <row r="36" spans="2:8" x14ac:dyDescent="0.35">
      <c r="B36" t="str" cm="1">
        <f t="array" ref="B36:B37">_xlfn.UNIQUE(fin_table[Loan Status])</f>
        <v>Without Loan</v>
      </c>
      <c r="C36">
        <f>COUNTIF(fin_table[],B36)</f>
        <v>516</v>
      </c>
    </row>
    <row r="37" spans="2:8" x14ac:dyDescent="0.35">
      <c r="B37" t="str">
        <v>With Loan</v>
      </c>
      <c r="C37">
        <f>COUNTIF(fin_table[],B37)</f>
        <v>484</v>
      </c>
    </row>
  </sheetData>
  <mergeCells count="4">
    <mergeCell ref="B10:I11"/>
    <mergeCell ref="B31:H32"/>
    <mergeCell ref="B3:G7"/>
    <mergeCell ref="H3:I7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A08F-3070-4868-9F66-6161FB59DCFE}">
  <sheetPr>
    <tabColor theme="8" tint="-0.499984740745262"/>
  </sheetPr>
  <dimension ref="B2:L76"/>
  <sheetViews>
    <sheetView showGridLines="0" topLeftCell="A63" zoomScale="104" workbookViewId="0">
      <selection activeCell="C75" sqref="C75"/>
    </sheetView>
  </sheetViews>
  <sheetFormatPr defaultRowHeight="14.5" x14ac:dyDescent="0.35"/>
  <cols>
    <col min="1" max="1" width="7.08984375" customWidth="1"/>
    <col min="2" max="2" width="8.453125" bestFit="1" customWidth="1"/>
    <col min="3" max="3" width="12.90625" bestFit="1" customWidth="1"/>
    <col min="4" max="4" width="8.7265625" customWidth="1"/>
  </cols>
  <sheetData>
    <row r="2" spans="2:12" ht="14.5" customHeight="1" x14ac:dyDescent="0.35">
      <c r="B2" s="92" t="s">
        <v>3637</v>
      </c>
      <c r="C2" s="92"/>
      <c r="D2" s="92"/>
      <c r="E2" s="92"/>
      <c r="F2" s="92"/>
      <c r="G2" s="92"/>
      <c r="H2" s="93"/>
    </row>
    <row r="3" spans="2:12" ht="14.5" customHeight="1" x14ac:dyDescent="0.35">
      <c r="B3" s="92"/>
      <c r="C3" s="92"/>
      <c r="D3" s="92"/>
      <c r="E3" s="92"/>
      <c r="F3" s="92"/>
      <c r="G3" s="92"/>
      <c r="H3" s="93"/>
    </row>
    <row r="4" spans="2:12" ht="14.5" customHeight="1" x14ac:dyDescent="0.35">
      <c r="B4" s="92"/>
      <c r="C4" s="92"/>
      <c r="D4" s="92"/>
      <c r="E4" s="92"/>
      <c r="F4" s="92"/>
      <c r="G4" s="92"/>
      <c r="H4" s="93"/>
    </row>
    <row r="5" spans="2:12" ht="14.5" customHeight="1" x14ac:dyDescent="0.35">
      <c r="B5" s="92"/>
      <c r="C5" s="92"/>
      <c r="D5" s="92"/>
      <c r="E5" s="92"/>
      <c r="F5" s="92"/>
      <c r="G5" s="92"/>
      <c r="H5" s="93"/>
      <c r="K5" s="25"/>
    </row>
    <row r="6" spans="2:12" ht="14.5" customHeight="1" x14ac:dyDescent="0.35">
      <c r="B6" s="92"/>
      <c r="C6" s="92"/>
      <c r="D6" s="92"/>
      <c r="E6" s="92"/>
      <c r="F6" s="92"/>
      <c r="G6" s="92"/>
      <c r="H6" s="93"/>
    </row>
    <row r="7" spans="2:12" ht="14.5" customHeight="1" x14ac:dyDescent="0.35">
      <c r="B7" s="92"/>
      <c r="C7" s="92"/>
      <c r="D7" s="92"/>
      <c r="E7" s="92"/>
      <c r="F7" s="92"/>
      <c r="G7" s="92"/>
      <c r="H7" s="93"/>
    </row>
    <row r="9" spans="2:12" x14ac:dyDescent="0.35">
      <c r="B9" s="86" t="s">
        <v>3638</v>
      </c>
      <c r="C9" s="87"/>
      <c r="D9" s="87"/>
      <c r="E9" s="87"/>
      <c r="F9" s="87"/>
      <c r="G9" s="87"/>
      <c r="H9" s="87"/>
      <c r="I9" s="87"/>
    </row>
    <row r="10" spans="2:12" x14ac:dyDescent="0.35">
      <c r="B10" s="86"/>
      <c r="C10" s="87"/>
      <c r="D10" s="87"/>
      <c r="E10" s="87"/>
      <c r="F10" s="87"/>
      <c r="G10" s="87"/>
      <c r="H10" s="87"/>
      <c r="I10" s="87"/>
    </row>
    <row r="11" spans="2:12" x14ac:dyDescent="0.35">
      <c r="B11" s="86"/>
      <c r="C11" s="87"/>
      <c r="D11" s="87"/>
      <c r="E11" s="87"/>
      <c r="F11" s="87"/>
      <c r="G11" s="87"/>
      <c r="H11" s="87"/>
      <c r="I11" s="87"/>
    </row>
    <row r="12" spans="2:12" x14ac:dyDescent="0.35">
      <c r="B12" s="88"/>
      <c r="C12" s="88"/>
      <c r="D12" s="88"/>
      <c r="E12" s="88"/>
      <c r="F12" s="88"/>
      <c r="G12" s="88"/>
      <c r="H12" s="88"/>
      <c r="I12" s="88"/>
    </row>
    <row r="13" spans="2:12" x14ac:dyDescent="0.35">
      <c r="B13" s="28"/>
      <c r="C13" s="28"/>
      <c r="D13" s="28"/>
      <c r="E13" s="28"/>
      <c r="F13" s="28"/>
      <c r="G13" s="28"/>
      <c r="H13" s="28"/>
      <c r="I13" s="28"/>
    </row>
    <row r="14" spans="2:12" x14ac:dyDescent="0.35">
      <c r="B14" s="49" t="s">
        <v>3640</v>
      </c>
      <c r="C14" s="49" t="s">
        <v>3641</v>
      </c>
      <c r="D14" s="28"/>
      <c r="E14" s="28"/>
      <c r="F14" s="28"/>
      <c r="G14" s="28"/>
      <c r="H14" s="28"/>
    </row>
    <row r="15" spans="2:12" x14ac:dyDescent="0.35">
      <c r="B15" cm="1">
        <f t="array" ref="B15:B43">_xlfn.UNIQUE(fin_table[Loan Duration (Years)])</f>
        <v>13</v>
      </c>
      <c r="C15" s="31">
        <f>SUMIF(fin_table[Loan Duration (Years)],B15,fin_table[Interest income])</f>
        <v>397486.44008700014</v>
      </c>
    </row>
    <row r="16" spans="2:12" x14ac:dyDescent="0.35">
      <c r="B16">
        <v>8</v>
      </c>
      <c r="C16" s="31">
        <f>SUMIF(fin_table[Loan Duration (Years)],B16,fin_table[Interest income])</f>
        <v>15743.387004499999</v>
      </c>
      <c r="L16" s="28"/>
    </row>
    <row r="17" spans="2:3" x14ac:dyDescent="0.35">
      <c r="B17">
        <v>5</v>
      </c>
      <c r="C17" s="31">
        <f>SUMIF(fin_table[Loan Duration (Years)],B17,fin_table[Interest income])</f>
        <v>15692.351132500004</v>
      </c>
    </row>
    <row r="18" spans="2:3" x14ac:dyDescent="0.35">
      <c r="B18">
        <v>20</v>
      </c>
      <c r="C18" s="31">
        <f>SUMIF(fin_table[Loan Duration (Years)],B18,fin_table[Interest income])</f>
        <v>12244.324408500001</v>
      </c>
    </row>
    <row r="19" spans="2:3" x14ac:dyDescent="0.35">
      <c r="B19">
        <v>4</v>
      </c>
      <c r="C19" s="31">
        <f>SUMIF(fin_table[Loan Duration (Years)],B19,fin_table[Interest income])</f>
        <v>16745.170064500002</v>
      </c>
    </row>
    <row r="20" spans="2:3" x14ac:dyDescent="0.35">
      <c r="B20">
        <v>11</v>
      </c>
      <c r="C20" s="31">
        <f>SUMIF(fin_table[Loan Duration (Years)],B20,fin_table[Interest income])</f>
        <v>14652.181422</v>
      </c>
    </row>
    <row r="21" spans="2:3" x14ac:dyDescent="0.35">
      <c r="B21">
        <v>6</v>
      </c>
      <c r="C21" s="31">
        <f>SUMIF(fin_table[Loan Duration (Years)],B21,fin_table[Interest income])</f>
        <v>12638.7129195</v>
      </c>
    </row>
    <row r="22" spans="2:3" x14ac:dyDescent="0.35">
      <c r="B22">
        <v>21</v>
      </c>
      <c r="C22" s="31">
        <f>SUMIF(fin_table[Loan Duration (Years)],B22,fin_table[Interest income])</f>
        <v>18105.082605</v>
      </c>
    </row>
    <row r="23" spans="2:3" x14ac:dyDescent="0.35">
      <c r="B23">
        <v>16</v>
      </c>
      <c r="C23" s="31">
        <f>SUMIF(fin_table[Loan Duration (Years)],B23,fin_table[Interest income])</f>
        <v>13979.522828500003</v>
      </c>
    </row>
    <row r="24" spans="2:3" x14ac:dyDescent="0.35">
      <c r="B24">
        <v>27</v>
      </c>
      <c r="C24" s="31">
        <f>SUMIF(fin_table[Loan Duration (Years)],B24,fin_table[Interest income])</f>
        <v>13931.395597500004</v>
      </c>
    </row>
    <row r="25" spans="2:3" x14ac:dyDescent="0.35">
      <c r="B25">
        <v>9</v>
      </c>
      <c r="C25" s="31">
        <f>SUMIF(fin_table[Loan Duration (Years)],B25,fin_table[Interest income])</f>
        <v>18908.909760500002</v>
      </c>
    </row>
    <row r="26" spans="2:3" x14ac:dyDescent="0.35">
      <c r="B26">
        <v>19</v>
      </c>
      <c r="C26" s="31">
        <f>SUMIF(fin_table[Loan Duration (Years)],B26,fin_table[Interest income])</f>
        <v>16374.193462499999</v>
      </c>
    </row>
    <row r="27" spans="2:3" x14ac:dyDescent="0.35">
      <c r="B27">
        <v>22</v>
      </c>
      <c r="C27" s="31">
        <f>SUMIF(fin_table[Loan Duration (Years)],B27,fin_table[Interest income])</f>
        <v>9965.4825435000002</v>
      </c>
    </row>
    <row r="28" spans="2:3" x14ac:dyDescent="0.35">
      <c r="B28">
        <v>3</v>
      </c>
      <c r="C28" s="31">
        <f>SUMIF(fin_table[Loan Duration (Years)],B28,fin_table[Interest income])</f>
        <v>15977.106229499996</v>
      </c>
    </row>
    <row r="29" spans="2:3" x14ac:dyDescent="0.35">
      <c r="B29">
        <v>10</v>
      </c>
      <c r="C29" s="31">
        <f>SUMIF(fin_table[Loan Duration (Years)],B29,fin_table[Interest income])</f>
        <v>15550.3681165</v>
      </c>
    </row>
    <row r="30" spans="2:3" x14ac:dyDescent="0.35">
      <c r="B30">
        <v>24</v>
      </c>
      <c r="C30" s="31">
        <f>SUMIF(fin_table[Loan Duration (Years)],B30,fin_table[Interest income])</f>
        <v>11984.497951499998</v>
      </c>
    </row>
    <row r="31" spans="2:3" x14ac:dyDescent="0.35">
      <c r="B31">
        <v>18</v>
      </c>
      <c r="C31" s="31">
        <f>SUMIF(fin_table[Loan Duration (Years)],B31,fin_table[Interest income])</f>
        <v>13307.877237000001</v>
      </c>
    </row>
    <row r="32" spans="2:3" x14ac:dyDescent="0.35">
      <c r="B32">
        <v>25</v>
      </c>
      <c r="C32" s="31">
        <f>SUMIF(fin_table[Loan Duration (Years)],B32,fin_table[Interest income])</f>
        <v>8955.2258109999984</v>
      </c>
    </row>
    <row r="33" spans="2:6" x14ac:dyDescent="0.35">
      <c r="B33">
        <v>26</v>
      </c>
      <c r="C33" s="31">
        <f>SUMIF(fin_table[Loan Duration (Years)],B33,fin_table[Interest income])</f>
        <v>13149.494408</v>
      </c>
    </row>
    <row r="34" spans="2:6" x14ac:dyDescent="0.35">
      <c r="B34">
        <v>23</v>
      </c>
      <c r="C34" s="31">
        <f>SUMIF(fin_table[Loan Duration (Years)],B34,fin_table[Interest income])</f>
        <v>14406.361505500003</v>
      </c>
    </row>
    <row r="35" spans="2:6" x14ac:dyDescent="0.35">
      <c r="B35">
        <v>28</v>
      </c>
      <c r="C35" s="31">
        <f>SUMIF(fin_table[Loan Duration (Years)],B35,fin_table[Interest income])</f>
        <v>8917.1908244999995</v>
      </c>
    </row>
    <row r="36" spans="2:6" x14ac:dyDescent="0.35">
      <c r="B36">
        <v>1</v>
      </c>
      <c r="C36" s="31">
        <f>SUMIF(fin_table[Loan Duration (Years)],B36,fin_table[Interest income])</f>
        <v>15747.639385999999</v>
      </c>
    </row>
    <row r="37" spans="2:6" x14ac:dyDescent="0.35">
      <c r="B37">
        <v>29</v>
      </c>
      <c r="C37" s="31">
        <f>SUMIF(fin_table[Loan Duration (Years)],B37,fin_table[Interest income])</f>
        <v>12662.6633385</v>
      </c>
    </row>
    <row r="38" spans="2:6" x14ac:dyDescent="0.35">
      <c r="B38">
        <v>14</v>
      </c>
      <c r="C38" s="31">
        <f>SUMIF(fin_table[Loan Duration (Years)],B38,fin_table[Interest income])</f>
        <v>6635.3807580000002</v>
      </c>
    </row>
    <row r="39" spans="2:6" x14ac:dyDescent="0.35">
      <c r="B39">
        <v>7</v>
      </c>
      <c r="C39" s="31">
        <f>SUMIF(fin_table[Loan Duration (Years)],B39,fin_table[Interest income])</f>
        <v>19846.621813000002</v>
      </c>
    </row>
    <row r="40" spans="2:6" x14ac:dyDescent="0.35">
      <c r="B40">
        <v>2</v>
      </c>
      <c r="C40" s="31">
        <f>SUMIF(fin_table[Loan Duration (Years)],B40,fin_table[Interest income])</f>
        <v>21967.404456499997</v>
      </c>
    </row>
    <row r="41" spans="2:6" x14ac:dyDescent="0.35">
      <c r="B41">
        <v>15</v>
      </c>
      <c r="C41" s="31">
        <f>SUMIF(fin_table[Loan Duration (Years)],B41,fin_table[Interest income])</f>
        <v>13407.353773999999</v>
      </c>
    </row>
    <row r="42" spans="2:6" x14ac:dyDescent="0.35">
      <c r="B42">
        <v>17</v>
      </c>
      <c r="C42" s="31">
        <f>SUMIF(fin_table[Loan Duration (Years)],B42,fin_table[Interest income])</f>
        <v>13017.223238499999</v>
      </c>
    </row>
    <row r="43" spans="2:6" x14ac:dyDescent="0.35">
      <c r="B43">
        <v>12</v>
      </c>
      <c r="C43" s="31">
        <f>SUMIF(fin_table[Loan Duration (Years)],B43,fin_table[Interest income])</f>
        <v>15958.361080499999</v>
      </c>
    </row>
    <row r="44" spans="2:6" ht="15" thickBot="1" x14ac:dyDescent="0.4">
      <c r="B44" s="3"/>
      <c r="C44" s="32">
        <f>SUM(fin_table[Interest income])</f>
        <v>797957.92376449844</v>
      </c>
    </row>
    <row r="45" spans="2:6" ht="15" thickTop="1" x14ac:dyDescent="0.35"/>
    <row r="48" spans="2:6" x14ac:dyDescent="0.35">
      <c r="B48" s="89" t="s">
        <v>3642</v>
      </c>
      <c r="C48" s="90"/>
      <c r="D48" s="90"/>
      <c r="E48" s="90"/>
      <c r="F48" s="90"/>
    </row>
    <row r="49" spans="2:6" x14ac:dyDescent="0.35">
      <c r="B49" s="89"/>
      <c r="C49" s="90"/>
      <c r="D49" s="90"/>
      <c r="E49" s="90"/>
      <c r="F49" s="90"/>
    </row>
    <row r="50" spans="2:6" x14ac:dyDescent="0.35">
      <c r="B50" s="89"/>
      <c r="C50" s="90"/>
      <c r="D50" s="90"/>
      <c r="E50" s="90"/>
      <c r="F50" s="90"/>
    </row>
    <row r="51" spans="2:6" x14ac:dyDescent="0.35">
      <c r="B51" s="91"/>
      <c r="C51" s="91"/>
      <c r="D51" s="91"/>
      <c r="E51" s="91"/>
      <c r="F51" s="91"/>
    </row>
    <row r="52" spans="2:6" x14ac:dyDescent="0.35">
      <c r="B52" s="44"/>
      <c r="C52" s="44"/>
      <c r="D52" s="44"/>
      <c r="E52" s="44"/>
      <c r="F52" s="44"/>
    </row>
    <row r="53" spans="2:6" x14ac:dyDescent="0.35">
      <c r="C53" t="s">
        <v>3643</v>
      </c>
    </row>
    <row r="54" spans="2:6" x14ac:dyDescent="0.35">
      <c r="B54" s="13" t="s">
        <v>493</v>
      </c>
      <c r="C54" s="4">
        <v>5274.4312085000001</v>
      </c>
    </row>
    <row r="55" spans="2:6" x14ac:dyDescent="0.35">
      <c r="B55" s="13" t="s">
        <v>2105</v>
      </c>
      <c r="C55" s="4">
        <v>4666.0849389999994</v>
      </c>
    </row>
    <row r="56" spans="2:6" x14ac:dyDescent="0.35">
      <c r="B56" s="13" t="s">
        <v>566</v>
      </c>
      <c r="C56" s="4">
        <v>4041.3419985</v>
      </c>
    </row>
    <row r="57" spans="2:6" x14ac:dyDescent="0.35">
      <c r="B57" s="13" t="s">
        <v>675</v>
      </c>
      <c r="C57" s="4">
        <v>3980.1318645000001</v>
      </c>
    </row>
    <row r="58" spans="2:6" x14ac:dyDescent="0.35">
      <c r="B58" s="13" t="s">
        <v>57</v>
      </c>
      <c r="C58" s="4">
        <v>3921.3360994999998</v>
      </c>
    </row>
    <row r="59" spans="2:6" x14ac:dyDescent="0.35">
      <c r="B59" s="13" t="s">
        <v>1128</v>
      </c>
      <c r="C59" s="4">
        <v>3748.8795314999998</v>
      </c>
    </row>
    <row r="60" spans="2:6" x14ac:dyDescent="0.35">
      <c r="B60" s="13" t="s">
        <v>664</v>
      </c>
      <c r="C60" s="4">
        <v>3602.7654334999997</v>
      </c>
    </row>
    <row r="61" spans="2:6" x14ac:dyDescent="0.35">
      <c r="B61" s="13" t="s">
        <v>150</v>
      </c>
      <c r="C61" s="4">
        <v>3587.3490274999999</v>
      </c>
    </row>
    <row r="62" spans="2:6" x14ac:dyDescent="0.35">
      <c r="B62" s="13" t="s">
        <v>142</v>
      </c>
      <c r="C62" s="4">
        <v>3570.7660245000002</v>
      </c>
    </row>
    <row r="63" spans="2:6" x14ac:dyDescent="0.35">
      <c r="B63" s="13" t="s">
        <v>1268</v>
      </c>
      <c r="C63" s="4">
        <v>3530.0075099999999</v>
      </c>
    </row>
    <row r="69" spans="2:6" x14ac:dyDescent="0.35">
      <c r="B69" s="89" t="s">
        <v>3644</v>
      </c>
      <c r="C69" s="90"/>
      <c r="D69" s="90"/>
      <c r="E69" s="90"/>
      <c r="F69" s="90"/>
    </row>
    <row r="70" spans="2:6" x14ac:dyDescent="0.35">
      <c r="B70" s="91"/>
      <c r="C70" s="91"/>
      <c r="D70" s="91"/>
      <c r="E70" s="91"/>
      <c r="F70" s="91"/>
    </row>
    <row r="73" spans="2:6" x14ac:dyDescent="0.35">
      <c r="B73" s="10" t="s">
        <v>12</v>
      </c>
      <c r="C73" s="10" t="s">
        <v>3641</v>
      </c>
    </row>
    <row r="74" spans="2:6" x14ac:dyDescent="0.35">
      <c r="B74" t="str" cm="1">
        <f t="array" ref="B74:B76">_xlfn.UNIQUE(fin_table[Currency])</f>
        <v>EUR</v>
      </c>
      <c r="C74" s="35">
        <f>SUMIF(fin_table[Currency],B74,fin_table[Interest income])</f>
        <v>237992.39414600006</v>
      </c>
    </row>
    <row r="75" spans="2:6" x14ac:dyDescent="0.35">
      <c r="B75" t="str">
        <v>GBP</v>
      </c>
      <c r="C75" s="36">
        <f>SUMIF(fin_table[Currency],B75,fin_table[Interest income])</f>
        <v>255324.5026889999</v>
      </c>
    </row>
    <row r="76" spans="2:6" x14ac:dyDescent="0.35">
      <c r="B76" t="str">
        <v>USD</v>
      </c>
      <c r="C76" s="30">
        <f>SUMIF(fin_table[Currency],B76,fin_table[Interest income])</f>
        <v>304641.02692950011</v>
      </c>
    </row>
  </sheetData>
  <mergeCells count="5">
    <mergeCell ref="B9:I12"/>
    <mergeCell ref="B48:F51"/>
    <mergeCell ref="B69:F70"/>
    <mergeCell ref="B2:G7"/>
    <mergeCell ref="H2:H7"/>
  </mergeCells>
  <conditionalFormatting sqref="C15:C4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162C0-79C7-4A3E-9499-6F2E4C141D40}">
  <sheetPr>
    <tabColor theme="5" tint="-0.249977111117893"/>
  </sheetPr>
  <dimension ref="B2:H92"/>
  <sheetViews>
    <sheetView showGridLines="0" topLeftCell="A5" zoomScale="78" workbookViewId="0">
      <selection activeCell="C92" sqref="C92"/>
    </sheetView>
  </sheetViews>
  <sheetFormatPr defaultRowHeight="14.5" x14ac:dyDescent="0.35"/>
  <cols>
    <col min="1" max="1" width="6.81640625" customWidth="1"/>
    <col min="2" max="2" width="11.1796875" bestFit="1" customWidth="1"/>
    <col min="3" max="3" width="19.1796875" bestFit="1" customWidth="1"/>
  </cols>
  <sheetData>
    <row r="2" spans="2:8" ht="14.5" customHeight="1" x14ac:dyDescent="0.35">
      <c r="B2" s="94" t="s">
        <v>3645</v>
      </c>
      <c r="C2" s="94"/>
      <c r="D2" s="94"/>
      <c r="E2" s="94"/>
      <c r="F2" s="94"/>
      <c r="G2" s="94"/>
    </row>
    <row r="3" spans="2:8" ht="14.5" customHeight="1" x14ac:dyDescent="0.35">
      <c r="B3" s="94"/>
      <c r="C3" s="94"/>
      <c r="D3" s="94"/>
      <c r="E3" s="94"/>
      <c r="F3" s="94"/>
      <c r="G3" s="94"/>
    </row>
    <row r="4" spans="2:8" ht="14.5" customHeight="1" x14ac:dyDescent="0.35">
      <c r="B4" s="94"/>
      <c r="C4" s="94"/>
      <c r="D4" s="94"/>
      <c r="E4" s="94"/>
      <c r="F4" s="94"/>
      <c r="G4" s="94"/>
    </row>
    <row r="5" spans="2:8" ht="14.5" customHeight="1" x14ac:dyDescent="0.35">
      <c r="B5" s="94"/>
      <c r="C5" s="94"/>
      <c r="D5" s="94"/>
      <c r="E5" s="94"/>
      <c r="F5" s="94"/>
      <c r="G5" s="94"/>
    </row>
    <row r="6" spans="2:8" ht="14.5" customHeight="1" x14ac:dyDescent="0.35">
      <c r="B6" s="94"/>
      <c r="C6" s="94"/>
      <c r="D6" s="94"/>
      <c r="E6" s="94"/>
      <c r="F6" s="94"/>
      <c r="G6" s="94"/>
    </row>
    <row r="7" spans="2:8" ht="14.5" customHeight="1" x14ac:dyDescent="0.35">
      <c r="B7" s="94"/>
      <c r="C7" s="94"/>
      <c r="D7" s="94"/>
      <c r="E7" s="94"/>
      <c r="F7" s="94"/>
      <c r="G7" s="94"/>
    </row>
    <row r="10" spans="2:8" x14ac:dyDescent="0.35">
      <c r="B10" s="95" t="s">
        <v>3646</v>
      </c>
      <c r="C10" s="95"/>
      <c r="D10" s="95"/>
      <c r="E10" s="95"/>
      <c r="F10" s="95"/>
      <c r="G10" s="95"/>
      <c r="H10" s="95"/>
    </row>
    <row r="11" spans="2:8" x14ac:dyDescent="0.35">
      <c r="B11" s="96"/>
      <c r="C11" s="96"/>
      <c r="D11" s="96"/>
      <c r="E11" s="96"/>
      <c r="F11" s="96"/>
      <c r="G11" s="96"/>
      <c r="H11" s="96"/>
    </row>
    <row r="12" spans="2:8" ht="16" x14ac:dyDescent="0.35">
      <c r="B12" s="45"/>
      <c r="C12" s="45"/>
      <c r="D12" s="45"/>
      <c r="E12" s="45"/>
      <c r="F12" s="45"/>
      <c r="G12" s="45"/>
      <c r="H12" s="45"/>
    </row>
    <row r="13" spans="2:8" ht="16" x14ac:dyDescent="0.35">
      <c r="B13" s="45"/>
      <c r="C13" s="45"/>
      <c r="D13" s="45"/>
      <c r="E13" s="45"/>
      <c r="F13" s="45"/>
      <c r="G13" s="45"/>
      <c r="H13" s="45"/>
    </row>
    <row r="14" spans="2:8" ht="16.5" x14ac:dyDescent="0.45">
      <c r="B14" s="34" t="s">
        <v>3647</v>
      </c>
      <c r="C14" s="34" t="s">
        <v>3648</v>
      </c>
    </row>
    <row r="15" spans="2:8" x14ac:dyDescent="0.35">
      <c r="B15" t="str" cm="1">
        <f t="array" ref="B15:B18">_xlfn.UNIQUE(fin_table[Transaction Type])</f>
        <v>Payment</v>
      </c>
      <c r="C15" s="4">
        <f>AVERAGEIF(fin_table[Transaction Type],B15,fin_table[Loan Amount])</f>
        <v>27275.772765567803</v>
      </c>
    </row>
    <row r="16" spans="2:8" x14ac:dyDescent="0.35">
      <c r="B16" t="str">
        <v>Withdrawal</v>
      </c>
      <c r="C16" s="4">
        <f>AVERAGEIF(fin_table[Transaction Type],B16,fin_table[Loan Amount])</f>
        <v>26906.318103448302</v>
      </c>
    </row>
    <row r="17" spans="2:7" x14ac:dyDescent="0.35">
      <c r="B17" t="str">
        <v>Transfer</v>
      </c>
      <c r="C17" s="4">
        <f>AVERAGEIF(fin_table[Transaction Type],B17,fin_table[Loan Amount])</f>
        <v>26304.411919642869</v>
      </c>
    </row>
    <row r="18" spans="2:7" x14ac:dyDescent="0.35">
      <c r="B18" t="str">
        <v>Deposit</v>
      </c>
      <c r="C18" s="4">
        <f>AVERAGEIF(fin_table[Transaction Type],B18,fin_table[Loan Amount])</f>
        <v>26767.512685950427</v>
      </c>
    </row>
    <row r="30" spans="2:7" ht="21.5" customHeight="1" x14ac:dyDescent="0.35">
      <c r="B30" s="97" t="s">
        <v>3649</v>
      </c>
      <c r="C30" s="97"/>
      <c r="D30" s="97"/>
      <c r="E30" s="97"/>
      <c r="F30" s="97"/>
      <c r="G30" s="97"/>
    </row>
    <row r="32" spans="2:7" ht="18.5" x14ac:dyDescent="0.45">
      <c r="B32" s="51" t="s">
        <v>3660</v>
      </c>
    </row>
    <row r="34" spans="2:3" x14ac:dyDescent="0.35">
      <c r="B34" s="27" t="s">
        <v>3658</v>
      </c>
      <c r="C34" t="s">
        <v>3657</v>
      </c>
    </row>
    <row r="35" spans="2:3" x14ac:dyDescent="0.35">
      <c r="B35" s="13" t="s">
        <v>3670</v>
      </c>
      <c r="C35">
        <v>30</v>
      </c>
    </row>
    <row r="36" spans="2:3" x14ac:dyDescent="0.35">
      <c r="B36" s="13" t="s">
        <v>3671</v>
      </c>
      <c r="C36">
        <v>29</v>
      </c>
    </row>
    <row r="37" spans="2:3" x14ac:dyDescent="0.35">
      <c r="B37" s="13" t="s">
        <v>3672</v>
      </c>
      <c r="C37">
        <v>27</v>
      </c>
    </row>
    <row r="38" spans="2:3" x14ac:dyDescent="0.35">
      <c r="B38" s="13" t="s">
        <v>3673</v>
      </c>
      <c r="C38">
        <v>24</v>
      </c>
    </row>
    <row r="39" spans="2:3" x14ac:dyDescent="0.35">
      <c r="B39" s="13" t="s">
        <v>3674</v>
      </c>
      <c r="C39">
        <v>40</v>
      </c>
    </row>
    <row r="40" spans="2:3" x14ac:dyDescent="0.35">
      <c r="B40" s="13" t="s">
        <v>3675</v>
      </c>
      <c r="C40">
        <v>40</v>
      </c>
    </row>
    <row r="41" spans="2:3" x14ac:dyDescent="0.35">
      <c r="B41" s="13" t="s">
        <v>3676</v>
      </c>
      <c r="C41">
        <v>42</v>
      </c>
    </row>
    <row r="42" spans="2:3" x14ac:dyDescent="0.35">
      <c r="B42" s="13" t="s">
        <v>3677</v>
      </c>
      <c r="C42">
        <v>38</v>
      </c>
    </row>
    <row r="43" spans="2:3" x14ac:dyDescent="0.35">
      <c r="B43" s="13" t="s">
        <v>3678</v>
      </c>
      <c r="C43">
        <v>41</v>
      </c>
    </row>
    <row r="44" spans="2:3" x14ac:dyDescent="0.35">
      <c r="B44" s="13" t="s">
        <v>3679</v>
      </c>
      <c r="C44">
        <v>38</v>
      </c>
    </row>
    <row r="45" spans="2:3" x14ac:dyDescent="0.35">
      <c r="B45" s="13" t="s">
        <v>3680</v>
      </c>
      <c r="C45">
        <v>35</v>
      </c>
    </row>
    <row r="46" spans="2:3" x14ac:dyDescent="0.35">
      <c r="B46" s="13" t="s">
        <v>3681</v>
      </c>
      <c r="C46">
        <v>31</v>
      </c>
    </row>
    <row r="47" spans="2:3" x14ac:dyDescent="0.35">
      <c r="B47" s="13" t="s">
        <v>3682</v>
      </c>
      <c r="C47">
        <v>28</v>
      </c>
    </row>
    <row r="48" spans="2:3" x14ac:dyDescent="0.35">
      <c r="B48" s="13" t="s">
        <v>3683</v>
      </c>
      <c r="C48">
        <v>22</v>
      </c>
    </row>
    <row r="49" spans="2:3" x14ac:dyDescent="0.35">
      <c r="B49" s="13" t="s">
        <v>3684</v>
      </c>
      <c r="C49">
        <v>36</v>
      </c>
    </row>
    <row r="50" spans="2:3" x14ac:dyDescent="0.35">
      <c r="B50" s="13" t="s">
        <v>3685</v>
      </c>
      <c r="C50">
        <v>29</v>
      </c>
    </row>
    <row r="51" spans="2:3" x14ac:dyDescent="0.35">
      <c r="B51" s="13" t="s">
        <v>3686</v>
      </c>
      <c r="C51">
        <v>34</v>
      </c>
    </row>
    <row r="52" spans="2:3" x14ac:dyDescent="0.35">
      <c r="B52" s="13" t="s">
        <v>3687</v>
      </c>
      <c r="C52">
        <v>29</v>
      </c>
    </row>
    <row r="53" spans="2:3" x14ac:dyDescent="0.35">
      <c r="B53" s="13" t="s">
        <v>3688</v>
      </c>
      <c r="C53">
        <v>40</v>
      </c>
    </row>
    <row r="54" spans="2:3" x14ac:dyDescent="0.35">
      <c r="B54" s="13" t="s">
        <v>3689</v>
      </c>
      <c r="C54">
        <v>36</v>
      </c>
    </row>
    <row r="55" spans="2:3" x14ac:dyDescent="0.35">
      <c r="B55" s="13" t="s">
        <v>3690</v>
      </c>
      <c r="C55">
        <v>33</v>
      </c>
    </row>
    <row r="56" spans="2:3" x14ac:dyDescent="0.35">
      <c r="B56" s="13" t="s">
        <v>3691</v>
      </c>
      <c r="C56">
        <v>24</v>
      </c>
    </row>
    <row r="57" spans="2:3" x14ac:dyDescent="0.35">
      <c r="B57" s="13" t="s">
        <v>3692</v>
      </c>
      <c r="C57">
        <v>31</v>
      </c>
    </row>
    <row r="58" spans="2:3" x14ac:dyDescent="0.35">
      <c r="B58" s="13" t="s">
        <v>3693</v>
      </c>
      <c r="C58">
        <v>34</v>
      </c>
    </row>
    <row r="59" spans="2:3" x14ac:dyDescent="0.35">
      <c r="B59" s="13" t="s">
        <v>3694</v>
      </c>
      <c r="C59">
        <v>34</v>
      </c>
    </row>
    <row r="60" spans="2:3" x14ac:dyDescent="0.35">
      <c r="B60" s="13" t="s">
        <v>3695</v>
      </c>
      <c r="C60">
        <v>33</v>
      </c>
    </row>
    <row r="61" spans="2:3" x14ac:dyDescent="0.35">
      <c r="B61" s="13" t="s">
        <v>3696</v>
      </c>
      <c r="C61">
        <v>30</v>
      </c>
    </row>
    <row r="62" spans="2:3" x14ac:dyDescent="0.35">
      <c r="B62" s="13" t="s">
        <v>3697</v>
      </c>
      <c r="C62">
        <v>38</v>
      </c>
    </row>
    <row r="63" spans="2:3" x14ac:dyDescent="0.35">
      <c r="B63" s="13" t="s">
        <v>3698</v>
      </c>
      <c r="C63">
        <v>25</v>
      </c>
    </row>
    <row r="64" spans="2:3" x14ac:dyDescent="0.35">
      <c r="B64" s="13" t="s">
        <v>3699</v>
      </c>
      <c r="C64">
        <v>37</v>
      </c>
    </row>
    <row r="65" spans="2:3" x14ac:dyDescent="0.35">
      <c r="B65" s="13" t="s">
        <v>3700</v>
      </c>
      <c r="C65">
        <v>12</v>
      </c>
    </row>
    <row r="66" spans="2:3" x14ac:dyDescent="0.35">
      <c r="B66" s="13" t="s">
        <v>3632</v>
      </c>
      <c r="C66">
        <v>1000</v>
      </c>
    </row>
    <row r="69" spans="2:3" ht="16.5" x14ac:dyDescent="0.45">
      <c r="B69" s="50" t="s">
        <v>3701</v>
      </c>
    </row>
    <row r="71" spans="2:3" x14ac:dyDescent="0.35">
      <c r="B71" s="27" t="s">
        <v>3702</v>
      </c>
      <c r="C71" t="s">
        <v>3657</v>
      </c>
    </row>
    <row r="72" spans="2:3" x14ac:dyDescent="0.35">
      <c r="B72" s="13" t="s">
        <v>3654</v>
      </c>
      <c r="C72">
        <v>92</v>
      </c>
    </row>
    <row r="73" spans="2:3" x14ac:dyDescent="0.35">
      <c r="B73" s="13" t="s">
        <v>3655</v>
      </c>
      <c r="C73">
        <v>101</v>
      </c>
    </row>
    <row r="74" spans="2:3" x14ac:dyDescent="0.35">
      <c r="B74" s="13" t="s">
        <v>3656</v>
      </c>
      <c r="C74">
        <v>88</v>
      </c>
    </row>
    <row r="75" spans="2:3" x14ac:dyDescent="0.35">
      <c r="B75" s="13" t="s">
        <v>3661</v>
      </c>
      <c r="C75">
        <v>89</v>
      </c>
    </row>
    <row r="76" spans="2:3" x14ac:dyDescent="0.35">
      <c r="B76" s="13" t="s">
        <v>3662</v>
      </c>
      <c r="C76">
        <v>109</v>
      </c>
    </row>
    <row r="77" spans="2:3" x14ac:dyDescent="0.35">
      <c r="B77" s="13" t="s">
        <v>3663</v>
      </c>
      <c r="C77">
        <v>91</v>
      </c>
    </row>
    <row r="78" spans="2:3" x14ac:dyDescent="0.35">
      <c r="B78" s="13" t="s">
        <v>3664</v>
      </c>
      <c r="C78">
        <v>128</v>
      </c>
    </row>
    <row r="79" spans="2:3" x14ac:dyDescent="0.35">
      <c r="B79" s="13" t="s">
        <v>3665</v>
      </c>
      <c r="C79">
        <v>82</v>
      </c>
    </row>
    <row r="80" spans="2:3" x14ac:dyDescent="0.35">
      <c r="B80" s="13" t="s">
        <v>3666</v>
      </c>
      <c r="C80">
        <v>55</v>
      </c>
    </row>
    <row r="81" spans="2:3" x14ac:dyDescent="0.35">
      <c r="B81" s="13" t="s">
        <v>3667</v>
      </c>
      <c r="C81">
        <v>55</v>
      </c>
    </row>
    <row r="82" spans="2:3" x14ac:dyDescent="0.35">
      <c r="B82" s="13" t="s">
        <v>3668</v>
      </c>
      <c r="C82">
        <v>59</v>
      </c>
    </row>
    <row r="83" spans="2:3" x14ac:dyDescent="0.35">
      <c r="B83" s="13" t="s">
        <v>3669</v>
      </c>
      <c r="C83">
        <v>51</v>
      </c>
    </row>
    <row r="86" spans="2:3" ht="16.5" x14ac:dyDescent="0.45">
      <c r="B86" s="33" t="s">
        <v>3703</v>
      </c>
    </row>
    <row r="88" spans="2:3" x14ac:dyDescent="0.35">
      <c r="B88" s="27" t="s">
        <v>3704</v>
      </c>
      <c r="C88" t="s">
        <v>3657</v>
      </c>
    </row>
    <row r="89" spans="2:3" x14ac:dyDescent="0.35">
      <c r="B89" s="13" t="s">
        <v>3650</v>
      </c>
      <c r="C89">
        <v>281</v>
      </c>
    </row>
    <row r="90" spans="2:3" x14ac:dyDescent="0.35">
      <c r="B90" s="13" t="s">
        <v>3651</v>
      </c>
      <c r="C90">
        <v>289</v>
      </c>
    </row>
    <row r="91" spans="2:3" x14ac:dyDescent="0.35">
      <c r="B91" s="13" t="s">
        <v>3652</v>
      </c>
      <c r="C91">
        <v>265</v>
      </c>
    </row>
    <row r="92" spans="2:3" x14ac:dyDescent="0.35">
      <c r="B92" s="13" t="s">
        <v>3653</v>
      </c>
      <c r="C92">
        <v>165</v>
      </c>
    </row>
  </sheetData>
  <mergeCells count="3">
    <mergeCell ref="B2:G7"/>
    <mergeCell ref="B10:H11"/>
    <mergeCell ref="B30:G30"/>
  </mergeCells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9938E-4AD4-400A-90A9-9082C11594CA}">
  <sheetPr>
    <tabColor theme="6" tint="-0.499984740745262"/>
  </sheetPr>
  <dimension ref="B2:J42"/>
  <sheetViews>
    <sheetView showGridLines="0" topLeftCell="A43" zoomScale="99" workbookViewId="0">
      <selection activeCell="B45" sqref="B45"/>
    </sheetView>
  </sheetViews>
  <sheetFormatPr defaultRowHeight="14.5" x14ac:dyDescent="0.35"/>
  <cols>
    <col min="2" max="2" width="21" bestFit="1" customWidth="1"/>
    <col min="3" max="3" width="11.81640625" bestFit="1" customWidth="1"/>
    <col min="4" max="4" width="9.36328125" bestFit="1" customWidth="1"/>
    <col min="5" max="5" width="10.36328125" bestFit="1" customWidth="1"/>
    <col min="6" max="6" width="9.54296875" bestFit="1" customWidth="1"/>
    <col min="7" max="7" width="9.08984375" bestFit="1" customWidth="1"/>
    <col min="8" max="8" width="11.6328125" bestFit="1" customWidth="1"/>
  </cols>
  <sheetData>
    <row r="2" spans="2:10" x14ac:dyDescent="0.35">
      <c r="B2" s="98" t="s">
        <v>3705</v>
      </c>
      <c r="C2" s="98"/>
      <c r="D2" s="98"/>
      <c r="E2" s="98"/>
      <c r="F2" s="98"/>
      <c r="G2" s="98"/>
      <c r="H2" s="98"/>
    </row>
    <row r="3" spans="2:10" x14ac:dyDescent="0.35">
      <c r="B3" s="98"/>
      <c r="C3" s="98"/>
      <c r="D3" s="98"/>
      <c r="E3" s="98"/>
      <c r="F3" s="98"/>
      <c r="G3" s="98"/>
      <c r="H3" s="98"/>
    </row>
    <row r="4" spans="2:10" x14ac:dyDescent="0.35">
      <c r="B4" s="98"/>
      <c r="C4" s="98"/>
      <c r="D4" s="98"/>
      <c r="E4" s="98"/>
      <c r="F4" s="98"/>
      <c r="G4" s="98"/>
      <c r="H4" s="98"/>
    </row>
    <row r="5" spans="2:10" x14ac:dyDescent="0.35">
      <c r="B5" s="98"/>
      <c r="C5" s="98"/>
      <c r="D5" s="98"/>
      <c r="E5" s="98"/>
      <c r="F5" s="98"/>
      <c r="G5" s="98"/>
      <c r="H5" s="98"/>
    </row>
    <row r="6" spans="2:10" x14ac:dyDescent="0.35">
      <c r="B6" s="98"/>
      <c r="C6" s="98"/>
      <c r="D6" s="98"/>
      <c r="E6" s="98"/>
      <c r="F6" s="98"/>
      <c r="G6" s="98"/>
      <c r="H6" s="98"/>
    </row>
    <row r="8" spans="2:10" x14ac:dyDescent="0.35">
      <c r="B8" s="86" t="s">
        <v>3706</v>
      </c>
      <c r="C8" s="86"/>
      <c r="D8" s="86"/>
      <c r="E8" s="86"/>
      <c r="F8" s="86"/>
      <c r="G8" s="86"/>
      <c r="H8" s="86"/>
      <c r="I8" s="86"/>
      <c r="J8" s="86"/>
    </row>
    <row r="9" spans="2:10" x14ac:dyDescent="0.35">
      <c r="B9" s="86"/>
      <c r="C9" s="86"/>
      <c r="D9" s="86"/>
      <c r="E9" s="86"/>
      <c r="F9" s="86"/>
      <c r="G9" s="86"/>
      <c r="H9" s="86"/>
      <c r="I9" s="86"/>
      <c r="J9" s="86"/>
    </row>
    <row r="10" spans="2:10" x14ac:dyDescent="0.35">
      <c r="B10" s="99"/>
      <c r="C10" s="99"/>
      <c r="D10" s="99"/>
      <c r="E10" s="99"/>
      <c r="F10" s="99"/>
      <c r="G10" s="99"/>
      <c r="H10" s="99"/>
      <c r="I10" s="99"/>
      <c r="J10" s="99"/>
    </row>
    <row r="12" spans="2:10" ht="16.5" x14ac:dyDescent="0.45">
      <c r="B12" s="38" t="s">
        <v>3707</v>
      </c>
      <c r="C12" s="38" t="s">
        <v>3648</v>
      </c>
      <c r="D12" s="38" t="s">
        <v>3710</v>
      </c>
    </row>
    <row r="13" spans="2:10" x14ac:dyDescent="0.35">
      <c r="B13" t="str" cm="1">
        <f t="array" ref="B13:B17">_xlfn.UNIQUE(fin_table[Customer Name])</f>
        <v>Bob Brown</v>
      </c>
      <c r="C13" s="12" cm="1">
        <f t="array" ref="C13">_xlfn._xlws.SORT(AVERAGEIF(fin_table[Customer Name],B13,fin_table[Loan Amount]),,-1)</f>
        <v>26048.729144385008</v>
      </c>
      <c r="D13" s="12" cm="1">
        <f t="array" ref="D13">_xlfn._xlws.SORT(AVERAGEIF(fin_table[Customer Name],B13,fin_table[Loan Amount]))</f>
        <v>26048.729144385008</v>
      </c>
    </row>
    <row r="14" spans="2:10" x14ac:dyDescent="0.35">
      <c r="B14" t="str">
        <v>Carol White</v>
      </c>
      <c r="C14" s="12" cm="1">
        <f t="array" ref="C14">_xlfn._xlws.SORT(AVERAGEIF(fin_table[Customer Name],B14,fin_table[Loan Amount]),,-1)</f>
        <v>26954.262524509784</v>
      </c>
      <c r="D14" s="12" cm="1">
        <f t="array" ref="D14">_xlfn._xlws.SORT(AVERAGEIF(fin_table[Customer Name],B14,fin_table[Loan Amount]))</f>
        <v>26954.262524509784</v>
      </c>
    </row>
    <row r="15" spans="2:10" x14ac:dyDescent="0.35">
      <c r="B15" t="str">
        <v>Jane Smith</v>
      </c>
      <c r="C15" s="12" cm="1">
        <f t="array" ref="C15">_xlfn._xlws.SORT(AVERAGEIF(fin_table[Customer Name],B15,fin_table[Loan Amount]),,-1)</f>
        <v>27121.254497487436</v>
      </c>
      <c r="D15" s="12" cm="1">
        <f t="array" ref="D15">_xlfn._xlws.SORT(AVERAGEIF(fin_table[Customer Name],B15,fin_table[Loan Amount]))</f>
        <v>27121.254497487436</v>
      </c>
    </row>
    <row r="16" spans="2:10" x14ac:dyDescent="0.35">
      <c r="B16" t="str">
        <v>John Doe</v>
      </c>
      <c r="C16" s="12" cm="1">
        <f t="array" ref="C16">_xlfn._xlws.SORT(AVERAGEIF(fin_table[Customer Name],B16,fin_table[Loan Amount]),,-1)</f>
        <v>27439.718780487809</v>
      </c>
      <c r="D16" s="12" cm="1">
        <f t="array" ref="D16">_xlfn._xlws.SORT(AVERAGEIF(fin_table[Customer Name],B16,fin_table[Loan Amount]))</f>
        <v>27439.718780487809</v>
      </c>
    </row>
    <row r="17" spans="2:7" x14ac:dyDescent="0.35">
      <c r="B17" t="str">
        <v>Alice Johnson</v>
      </c>
      <c r="C17" s="12" cm="1">
        <f t="array" ref="C17">_xlfn._xlws.SORT(AVERAGEIF(fin_table[Customer Name],B17,fin_table[Loan Amount]),,-1)</f>
        <v>26569.304536585354</v>
      </c>
      <c r="D17" s="12" cm="1">
        <f t="array" ref="D17">_xlfn._xlws.SORT(AVERAGEIF(fin_table[Customer Name],B17,fin_table[Loan Amount]))</f>
        <v>26569.304536585354</v>
      </c>
    </row>
    <row r="19" spans="2:7" x14ac:dyDescent="0.35">
      <c r="B19" s="27" t="s">
        <v>3708</v>
      </c>
    </row>
    <row r="20" spans="2:7" x14ac:dyDescent="0.35">
      <c r="C20" t="s">
        <v>125</v>
      </c>
      <c r="D20" t="s">
        <v>24</v>
      </c>
      <c r="E20" t="s">
        <v>35</v>
      </c>
      <c r="F20" t="s">
        <v>49</v>
      </c>
      <c r="G20" t="s">
        <v>100</v>
      </c>
    </row>
    <row r="21" spans="2:7" x14ac:dyDescent="0.35">
      <c r="B21" s="13" t="s">
        <v>796</v>
      </c>
      <c r="C21" s="4"/>
      <c r="D21" s="4"/>
      <c r="E21" s="4"/>
      <c r="F21" s="4">
        <v>49614.43</v>
      </c>
      <c r="G21" s="4"/>
    </row>
    <row r="22" spans="2:7" x14ac:dyDescent="0.35">
      <c r="B22" s="13" t="s">
        <v>1723</v>
      </c>
      <c r="C22" s="4"/>
      <c r="D22" s="4"/>
      <c r="E22" s="4"/>
      <c r="F22" s="4"/>
      <c r="G22" s="4">
        <v>48180.77</v>
      </c>
    </row>
    <row r="23" spans="2:7" x14ac:dyDescent="0.35">
      <c r="B23" s="13" t="s">
        <v>3081</v>
      </c>
      <c r="C23" s="4"/>
      <c r="D23" s="4"/>
      <c r="E23" s="4"/>
      <c r="F23" s="4">
        <v>48616.5</v>
      </c>
      <c r="G23" s="4"/>
    </row>
    <row r="24" spans="2:7" x14ac:dyDescent="0.35">
      <c r="B24" s="13" t="s">
        <v>2532</v>
      </c>
      <c r="C24" s="4"/>
      <c r="D24" s="4"/>
      <c r="E24" s="4"/>
      <c r="F24" s="4"/>
      <c r="G24" s="4">
        <v>49983.6</v>
      </c>
    </row>
    <row r="25" spans="2:7" x14ac:dyDescent="0.35">
      <c r="B25" s="13" t="s">
        <v>1114</v>
      </c>
      <c r="C25" s="4"/>
      <c r="D25" s="4"/>
      <c r="E25" s="4"/>
      <c r="F25" s="4">
        <v>48677</v>
      </c>
      <c r="G25" s="4"/>
    </row>
    <row r="26" spans="2:7" x14ac:dyDescent="0.35">
      <c r="B26" s="13" t="s">
        <v>2794</v>
      </c>
      <c r="C26" s="4"/>
      <c r="D26" s="4">
        <v>49059.65</v>
      </c>
      <c r="E26" s="4"/>
      <c r="F26" s="4"/>
      <c r="G26" s="4"/>
    </row>
    <row r="27" spans="2:7" x14ac:dyDescent="0.35">
      <c r="B27" s="13" t="s">
        <v>51</v>
      </c>
      <c r="C27" s="4"/>
      <c r="D27" s="4"/>
      <c r="E27" s="4"/>
      <c r="F27" s="4">
        <v>48444.9</v>
      </c>
      <c r="G27" s="4"/>
    </row>
    <row r="28" spans="2:7" x14ac:dyDescent="0.35">
      <c r="B28" s="13" t="s">
        <v>1008</v>
      </c>
      <c r="C28" s="4"/>
      <c r="D28" s="4"/>
      <c r="E28" s="4">
        <v>48583.11</v>
      </c>
      <c r="F28" s="4"/>
      <c r="G28" s="4"/>
    </row>
    <row r="29" spans="2:7" x14ac:dyDescent="0.35">
      <c r="B29" s="13" t="s">
        <v>1664</v>
      </c>
      <c r="C29" s="4"/>
      <c r="D29" s="4"/>
      <c r="E29" s="4">
        <v>49645.69</v>
      </c>
      <c r="F29" s="4"/>
      <c r="G29" s="4"/>
    </row>
    <row r="30" spans="2:7" x14ac:dyDescent="0.35">
      <c r="B30" s="13" t="s">
        <v>1337</v>
      </c>
      <c r="C30" s="4"/>
      <c r="D30" s="4"/>
      <c r="E30" s="4">
        <v>49971.42</v>
      </c>
      <c r="F30" s="4"/>
      <c r="G30" s="4"/>
    </row>
    <row r="34" spans="2:7" ht="31" customHeight="1" x14ac:dyDescent="0.35">
      <c r="B34" s="100" t="s">
        <v>3709</v>
      </c>
      <c r="C34" s="101"/>
      <c r="D34" s="101"/>
      <c r="E34" s="101"/>
      <c r="F34" s="101"/>
      <c r="G34" s="101"/>
    </row>
    <row r="37" spans="2:7" ht="16.5" x14ac:dyDescent="0.45">
      <c r="B37" s="39" t="s">
        <v>3707</v>
      </c>
      <c r="C37" s="39" t="s">
        <v>3712</v>
      </c>
      <c r="G37" s="37"/>
    </row>
    <row r="38" spans="2:7" x14ac:dyDescent="0.35">
      <c r="B38" t="str" cm="1">
        <f t="array" ref="B38:B42">_xlfn.UNIQUE(fin_table[Customer Name])</f>
        <v>Bob Brown</v>
      </c>
      <c r="C38">
        <f>_xlfn.XLOOKUP(B38,fin_table[Customer Name],fin_table[Credit Score])</f>
        <v>459</v>
      </c>
    </row>
    <row r="39" spans="2:7" x14ac:dyDescent="0.35">
      <c r="B39" t="str">
        <v>Carol White</v>
      </c>
      <c r="C39">
        <f>_xlfn.XLOOKUP(B39,fin_table[Customer Name],fin_table[Credit Score])</f>
        <v>832</v>
      </c>
    </row>
    <row r="40" spans="2:7" x14ac:dyDescent="0.35">
      <c r="B40" t="str">
        <v>Jane Smith</v>
      </c>
      <c r="C40">
        <f>_xlfn.XLOOKUP(B40,fin_table[Customer Name],fin_table[Credit Score])</f>
        <v>410</v>
      </c>
    </row>
    <row r="41" spans="2:7" x14ac:dyDescent="0.35">
      <c r="B41" t="str">
        <v>John Doe</v>
      </c>
      <c r="C41">
        <f>_xlfn.XLOOKUP(B41,fin_table[Customer Name],fin_table[Credit Score])</f>
        <v>360</v>
      </c>
    </row>
    <row r="42" spans="2:7" x14ac:dyDescent="0.35">
      <c r="B42" s="40" t="str">
        <v>Alice Johnson</v>
      </c>
      <c r="C42" s="40">
        <f>_xlfn.XLOOKUP(B42,fin_table[Customer Name],fin_table[Credit Score])</f>
        <v>733</v>
      </c>
    </row>
  </sheetData>
  <mergeCells count="3">
    <mergeCell ref="B2:H6"/>
    <mergeCell ref="B8:J10"/>
    <mergeCell ref="B34:G34"/>
  </mergeCells>
  <conditionalFormatting sqref="B38:C42">
    <cfRule type="expression" priority="1">
      <formula>MOD(ROW(),2)=0</formula>
    </cfRule>
  </conditionalFormatting>
  <conditionalFormatting sqref="D13:D17">
    <cfRule type="iconSet" priority="2">
      <iconSet iconSet="4Arrows" showValue="0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1FDC-C43F-40F1-81E6-5FEC0DD113AB}">
  <sheetPr>
    <tabColor theme="9" tint="-0.499984740745262"/>
  </sheetPr>
  <dimension ref="B2:K90"/>
  <sheetViews>
    <sheetView showGridLines="0" tabSelected="1" topLeftCell="A62" workbookViewId="0">
      <selection activeCell="Q83" sqref="Q83"/>
    </sheetView>
  </sheetViews>
  <sheetFormatPr defaultRowHeight="14.5" x14ac:dyDescent="0.35"/>
  <cols>
    <col min="2" max="2" width="13.36328125" bestFit="1" customWidth="1"/>
    <col min="3" max="3" width="12.90625" bestFit="1" customWidth="1"/>
    <col min="4" max="4" width="6" bestFit="1" customWidth="1"/>
    <col min="5" max="5" width="7.6328125" bestFit="1" customWidth="1"/>
    <col min="6" max="6" width="10.36328125" bestFit="1" customWidth="1"/>
    <col min="11" max="11" width="10.7265625" customWidth="1"/>
  </cols>
  <sheetData>
    <row r="2" spans="2:11" x14ac:dyDescent="0.35">
      <c r="B2" s="102" t="s">
        <v>3713</v>
      </c>
      <c r="C2" s="102"/>
      <c r="D2" s="102"/>
      <c r="E2" s="102"/>
      <c r="F2" s="102"/>
    </row>
    <row r="3" spans="2:11" x14ac:dyDescent="0.35">
      <c r="B3" s="102"/>
      <c r="C3" s="102"/>
      <c r="D3" s="102"/>
      <c r="E3" s="102"/>
      <c r="F3" s="102"/>
    </row>
    <row r="4" spans="2:11" x14ac:dyDescent="0.35">
      <c r="B4" s="102"/>
      <c r="C4" s="102"/>
      <c r="D4" s="102"/>
      <c r="E4" s="102"/>
      <c r="F4" s="102"/>
    </row>
    <row r="5" spans="2:11" x14ac:dyDescent="0.35">
      <c r="B5" s="102"/>
      <c r="C5" s="102"/>
      <c r="D5" s="102"/>
      <c r="E5" s="102"/>
      <c r="F5" s="102"/>
    </row>
    <row r="6" spans="2:11" x14ac:dyDescent="0.35">
      <c r="B6" s="102"/>
      <c r="C6" s="102"/>
      <c r="D6" s="102"/>
      <c r="E6" s="102"/>
      <c r="F6" s="102"/>
    </row>
    <row r="9" spans="2:11" x14ac:dyDescent="0.35">
      <c r="B9" s="103" t="s">
        <v>3714</v>
      </c>
      <c r="C9" s="104"/>
      <c r="D9" s="104"/>
      <c r="E9" s="104"/>
      <c r="F9" s="104"/>
      <c r="G9" s="104"/>
      <c r="H9" s="104"/>
      <c r="I9" s="104"/>
      <c r="J9" s="104"/>
      <c r="K9" s="104"/>
    </row>
    <row r="10" spans="2:11" x14ac:dyDescent="0.35">
      <c r="B10" s="103"/>
      <c r="C10" s="104"/>
      <c r="D10" s="104"/>
      <c r="E10" s="104"/>
      <c r="F10" s="104"/>
      <c r="G10" s="104"/>
      <c r="H10" s="104"/>
      <c r="I10" s="104"/>
      <c r="J10" s="104"/>
      <c r="K10" s="104"/>
    </row>
    <row r="11" spans="2:11" x14ac:dyDescent="0.35">
      <c r="B11" s="103"/>
      <c r="C11" s="104"/>
      <c r="D11" s="104"/>
      <c r="E11" s="104"/>
      <c r="F11" s="104"/>
      <c r="G11" s="104"/>
      <c r="H11" s="104"/>
      <c r="I11" s="104"/>
      <c r="J11" s="104"/>
      <c r="K11" s="104"/>
    </row>
    <row r="12" spans="2:11" x14ac:dyDescent="0.35">
      <c r="B12" s="104"/>
      <c r="C12" s="104"/>
      <c r="D12" s="104"/>
      <c r="E12" s="104"/>
      <c r="F12" s="104"/>
      <c r="G12" s="104"/>
      <c r="H12" s="104"/>
      <c r="I12" s="104"/>
      <c r="J12" s="104"/>
      <c r="K12" s="104"/>
    </row>
    <row r="13" spans="2:11" ht="16.5" x14ac:dyDescent="0.45">
      <c r="B13" s="41" t="s">
        <v>3711</v>
      </c>
      <c r="C13" s="41" t="s">
        <v>3715</v>
      </c>
    </row>
    <row r="14" spans="2:11" x14ac:dyDescent="0.35">
      <c r="B14" t="str" cm="1">
        <f t="array" ref="B14:B18">_xlfn.UNIQUE(fin_table[Customer Name])</f>
        <v>Bob Brown</v>
      </c>
      <c r="C14">
        <f>_xlfn.XLOOKUP(B14,fin_table[Customer Name],fin_table[Credit Score])</f>
        <v>459</v>
      </c>
    </row>
    <row r="15" spans="2:11" x14ac:dyDescent="0.35">
      <c r="B15" s="6" t="str">
        <v>Carol White</v>
      </c>
      <c r="C15">
        <f>_xlfn.XLOOKUP(B15,fin_table[Customer Name],fin_table[Credit Score])</f>
        <v>832</v>
      </c>
    </row>
    <row r="16" spans="2:11" x14ac:dyDescent="0.35">
      <c r="B16" t="str">
        <v>Jane Smith</v>
      </c>
      <c r="C16">
        <f>_xlfn.XLOOKUP(B16,fin_table[Customer Name],fin_table[Credit Score])</f>
        <v>410</v>
      </c>
    </row>
    <row r="17" spans="2:3" x14ac:dyDescent="0.35">
      <c r="B17" t="str">
        <v>John Doe</v>
      </c>
      <c r="C17">
        <f>_xlfn.XLOOKUP(B17,fin_table[Customer Name],fin_table[Credit Score])</f>
        <v>360</v>
      </c>
    </row>
    <row r="18" spans="2:3" x14ac:dyDescent="0.35">
      <c r="B18" t="str">
        <v>Alice Johnson</v>
      </c>
      <c r="C18">
        <f>_xlfn.XLOOKUP(B18,fin_table[Customer Name],fin_table[Credit Score])</f>
        <v>733</v>
      </c>
    </row>
    <row r="29" spans="2:3" x14ac:dyDescent="0.35">
      <c r="B29" s="46" t="s">
        <v>17</v>
      </c>
      <c r="C29" s="46" t="s">
        <v>3722</v>
      </c>
    </row>
    <row r="30" spans="2:3" x14ac:dyDescent="0.35">
      <c r="B30" s="13" t="s">
        <v>3720</v>
      </c>
      <c r="C30" s="42">
        <v>530</v>
      </c>
    </row>
    <row r="31" spans="2:3" x14ac:dyDescent="0.35">
      <c r="B31" s="13" t="s">
        <v>3718</v>
      </c>
      <c r="C31" s="42">
        <v>152</v>
      </c>
    </row>
    <row r="32" spans="2:3" x14ac:dyDescent="0.35">
      <c r="B32" s="13" t="s">
        <v>3719</v>
      </c>
      <c r="C32" s="42">
        <v>128</v>
      </c>
    </row>
    <row r="33" spans="2:5" x14ac:dyDescent="0.35">
      <c r="B33" s="13" t="s">
        <v>3717</v>
      </c>
      <c r="C33" s="42">
        <v>100</v>
      </c>
    </row>
    <row r="34" spans="2:5" x14ac:dyDescent="0.35">
      <c r="B34" s="13" t="s">
        <v>3721</v>
      </c>
      <c r="C34" s="42">
        <v>90</v>
      </c>
    </row>
    <row r="46" spans="2:5" x14ac:dyDescent="0.35">
      <c r="B46" s="46" t="s">
        <v>3607</v>
      </c>
      <c r="D46" s="46"/>
      <c r="E46" s="46"/>
    </row>
    <row r="47" spans="2:5" x14ac:dyDescent="0.35">
      <c r="C47" s="46" t="s">
        <v>44</v>
      </c>
      <c r="D47" s="46" t="s">
        <v>29</v>
      </c>
      <c r="E47" s="46" t="s">
        <v>62</v>
      </c>
    </row>
    <row r="48" spans="2:5" x14ac:dyDescent="0.35">
      <c r="B48" s="13" t="s">
        <v>3717</v>
      </c>
      <c r="C48">
        <v>34</v>
      </c>
      <c r="D48">
        <v>31</v>
      </c>
      <c r="E48">
        <v>35</v>
      </c>
    </row>
    <row r="49" spans="2:9" x14ac:dyDescent="0.35">
      <c r="B49" s="13" t="s">
        <v>3718</v>
      </c>
      <c r="C49">
        <v>62</v>
      </c>
      <c r="D49">
        <v>50</v>
      </c>
      <c r="E49">
        <v>40</v>
      </c>
    </row>
    <row r="50" spans="2:9" x14ac:dyDescent="0.35">
      <c r="B50" s="13" t="s">
        <v>3719</v>
      </c>
      <c r="C50">
        <v>43</v>
      </c>
      <c r="D50">
        <v>50</v>
      </c>
      <c r="E50">
        <v>35</v>
      </c>
    </row>
    <row r="51" spans="2:9" x14ac:dyDescent="0.35">
      <c r="B51" s="13" t="s">
        <v>3720</v>
      </c>
      <c r="C51">
        <v>180</v>
      </c>
      <c r="D51">
        <v>186</v>
      </c>
      <c r="E51">
        <v>164</v>
      </c>
    </row>
    <row r="52" spans="2:9" x14ac:dyDescent="0.35">
      <c r="B52" s="13" t="s">
        <v>3721</v>
      </c>
      <c r="C52">
        <v>29</v>
      </c>
      <c r="D52">
        <v>26</v>
      </c>
      <c r="E52">
        <v>35</v>
      </c>
    </row>
    <row r="63" spans="2:9" ht="31" customHeight="1" x14ac:dyDescent="0.45">
      <c r="B63" s="105" t="s">
        <v>3725</v>
      </c>
      <c r="C63" s="105"/>
      <c r="D63" s="105"/>
      <c r="E63" s="105"/>
      <c r="F63" s="105"/>
      <c r="G63" s="105"/>
      <c r="H63" s="105"/>
      <c r="I63" s="105"/>
    </row>
    <row r="66" spans="2:3" x14ac:dyDescent="0.35">
      <c r="B66" s="48" t="s">
        <v>3726</v>
      </c>
      <c r="C66" s="46" t="s">
        <v>3727</v>
      </c>
    </row>
    <row r="67" spans="2:3" x14ac:dyDescent="0.35">
      <c r="B67" t="str" cm="1">
        <f t="array" ref="B67:B69">_xlfn.UNIQUE(fin_table[Account Type])</f>
        <v>Checking</v>
      </c>
      <c r="C67" cm="1">
        <f t="array" ref="C67">_xlfn._xlws.SORT(COUNTIFS(fin_table[Account Type],B67,fin_table[Transaction Status],"Failed"),,-1)</f>
        <v>111</v>
      </c>
    </row>
    <row r="68" spans="2:3" x14ac:dyDescent="0.35">
      <c r="B68" t="str">
        <v>Credit</v>
      </c>
      <c r="C68" cm="1">
        <f t="array" ref="C68">_xlfn._xlws.SORT(COUNTIFS(fin_table[Account Type],B68,fin_table[Transaction Status],"Failed"),,-1)</f>
        <v>117</v>
      </c>
    </row>
    <row r="69" spans="2:3" x14ac:dyDescent="0.35">
      <c r="B69" t="str">
        <v>Savings</v>
      </c>
      <c r="C69" cm="1">
        <f t="array" ref="C69">_xlfn._xlws.SORT(COUNTIFS(fin_table[Account Type],B69,fin_table[Transaction Status],"Failed"),,-1)</f>
        <v>115</v>
      </c>
    </row>
    <row r="83" spans="2:8" ht="29.5" customHeight="1" x14ac:dyDescent="0.35">
      <c r="B83" s="106" t="s">
        <v>3728</v>
      </c>
      <c r="C83" s="107"/>
      <c r="D83" s="107"/>
      <c r="E83" s="107"/>
      <c r="F83" s="107"/>
      <c r="G83" s="107"/>
      <c r="H83" s="107"/>
    </row>
    <row r="85" spans="2:8" x14ac:dyDescent="0.35">
      <c r="B85" s="46" t="s">
        <v>3711</v>
      </c>
      <c r="C85" s="46" t="s">
        <v>3731</v>
      </c>
      <c r="D85" s="46" t="s">
        <v>3732</v>
      </c>
    </row>
    <row r="86" spans="2:8" x14ac:dyDescent="0.35">
      <c r="B86" t="str" cm="1">
        <f t="array" ref="B86:B90">_xlfn.UNIQUE(fin_table[Customer Name])</f>
        <v>Bob Brown</v>
      </c>
      <c r="C86">
        <f>COUNTIFS(fin_table[interest Rate level],"high",fin_table[Customer Name],B86)</f>
        <v>36</v>
      </c>
      <c r="D86">
        <f>COUNTIFS(fin_table[interest Rate level],"low",fin_table[Customer Name],B86)</f>
        <v>151</v>
      </c>
    </row>
    <row r="87" spans="2:8" x14ac:dyDescent="0.35">
      <c r="B87" t="str">
        <v>Carol White</v>
      </c>
      <c r="C87">
        <f>COUNTIFS(fin_table[interest Rate level],"high",fin_table[Customer Name],B87)</f>
        <v>44</v>
      </c>
      <c r="D87">
        <f>COUNTIFS(fin_table[interest Rate level],"low",fin_table[Customer Name],B87)</f>
        <v>160</v>
      </c>
    </row>
    <row r="88" spans="2:8" x14ac:dyDescent="0.35">
      <c r="B88" t="str">
        <v>Jane Smith</v>
      </c>
      <c r="C88">
        <f>COUNTIFS(fin_table[interest Rate level],"high",fin_table[Customer Name],B88)</f>
        <v>40</v>
      </c>
      <c r="D88">
        <f>COUNTIFS(fin_table[interest Rate level],"low",fin_table[Customer Name],B88)</f>
        <v>159</v>
      </c>
    </row>
    <row r="89" spans="2:8" x14ac:dyDescent="0.35">
      <c r="B89" t="str">
        <v>John Doe</v>
      </c>
      <c r="C89">
        <f>COUNTIFS(fin_table[interest Rate level],"high",fin_table[Customer Name],B89)</f>
        <v>46</v>
      </c>
      <c r="D89">
        <f>COUNTIFS(fin_table[interest Rate level],"low",fin_table[Customer Name],B89)</f>
        <v>159</v>
      </c>
    </row>
    <row r="90" spans="2:8" x14ac:dyDescent="0.35">
      <c r="B90" t="str">
        <v>Alice Johnson</v>
      </c>
      <c r="C90">
        <f>COUNTIFS(fin_table[interest Rate level],"high",fin_table[Customer Name],B90)</f>
        <v>50</v>
      </c>
      <c r="D90">
        <f>COUNTIFS(fin_table[interest Rate level],"low",fin_table[Customer Name],B90)</f>
        <v>155</v>
      </c>
    </row>
  </sheetData>
  <mergeCells count="4">
    <mergeCell ref="B2:F6"/>
    <mergeCell ref="B9:K12"/>
    <mergeCell ref="B63:I63"/>
    <mergeCell ref="B83:H83"/>
  </mergeCell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AFFBA-B5BD-4867-9617-DF9F630DD6B5}">
  <sheetPr>
    <tabColor rgb="FF00B0F0"/>
  </sheetPr>
  <dimension ref="B2:S612"/>
  <sheetViews>
    <sheetView showGridLines="0" topLeftCell="A5" zoomScale="80" workbookViewId="0">
      <selection activeCell="F11" sqref="F11"/>
    </sheetView>
  </sheetViews>
  <sheetFormatPr defaultRowHeight="14.5" x14ac:dyDescent="0.35"/>
  <cols>
    <col min="1" max="1" width="6.54296875" customWidth="1"/>
    <col min="2" max="2" width="8.81640625" customWidth="1"/>
    <col min="3" max="3" width="10.36328125" bestFit="1" customWidth="1"/>
    <col min="4" max="4" width="12.26953125" bestFit="1" customWidth="1"/>
    <col min="6" max="6" width="12.453125" bestFit="1" customWidth="1"/>
    <col min="7" max="7" width="2.26953125" customWidth="1"/>
    <col min="8" max="8" width="1.7265625" customWidth="1"/>
    <col min="16" max="16" width="54.26953125" customWidth="1"/>
  </cols>
  <sheetData>
    <row r="2" spans="2:19" ht="14.5" customHeight="1" x14ac:dyDescent="0.35">
      <c r="B2" s="108" t="s">
        <v>3734</v>
      </c>
      <c r="C2" s="109"/>
      <c r="D2" s="109"/>
      <c r="E2" s="109"/>
      <c r="F2" s="109"/>
    </row>
    <row r="3" spans="2:19" ht="14.5" customHeight="1" x14ac:dyDescent="0.35">
      <c r="B3" s="109"/>
      <c r="C3" s="109"/>
      <c r="D3" s="109"/>
      <c r="E3" s="109"/>
      <c r="F3" s="109"/>
    </row>
    <row r="4" spans="2:19" ht="14.5" customHeight="1" x14ac:dyDescent="0.35">
      <c r="B4" s="109"/>
      <c r="C4" s="109"/>
      <c r="D4" s="109"/>
      <c r="E4" s="109"/>
      <c r="F4" s="109"/>
    </row>
    <row r="5" spans="2:19" ht="14.5" customHeight="1" x14ac:dyDescent="0.35"/>
    <row r="6" spans="2:19" ht="14.5" customHeight="1" x14ac:dyDescent="0.35"/>
    <row r="9" spans="2:19" ht="28.5" customHeight="1" x14ac:dyDescent="0.35">
      <c r="B9" s="86" t="s">
        <v>3735</v>
      </c>
      <c r="C9" s="86"/>
      <c r="D9" s="86"/>
      <c r="E9" s="86"/>
      <c r="F9" s="86"/>
      <c r="G9" s="86"/>
    </row>
    <row r="10" spans="2:19" ht="54" customHeight="1" x14ac:dyDescent="0.35">
      <c r="B10" s="99"/>
      <c r="C10" s="99"/>
      <c r="D10" s="99"/>
      <c r="E10" s="99"/>
      <c r="F10" s="99"/>
      <c r="G10" s="99"/>
      <c r="K10" s="110" t="s">
        <v>3739</v>
      </c>
      <c r="L10" s="110"/>
      <c r="M10" s="110"/>
      <c r="N10" s="111"/>
      <c r="O10" s="111"/>
      <c r="P10" s="110"/>
      <c r="Q10" s="112"/>
      <c r="R10" s="112"/>
      <c r="S10" s="112"/>
    </row>
    <row r="11" spans="2:19" ht="16.5" x14ac:dyDescent="0.45">
      <c r="B11" s="53" t="s">
        <v>3624</v>
      </c>
      <c r="C11" s="53" t="s">
        <v>3737</v>
      </c>
      <c r="D11" s="53" t="s">
        <v>3738</v>
      </c>
      <c r="K11" s="52" t="s">
        <v>3624</v>
      </c>
      <c r="L11" s="52" t="s">
        <v>3741</v>
      </c>
      <c r="N11" s="52" t="s">
        <v>3624</v>
      </c>
      <c r="O11" s="52" t="s">
        <v>3741</v>
      </c>
    </row>
    <row r="12" spans="2:19" x14ac:dyDescent="0.35">
      <c r="B12" t="s">
        <v>27</v>
      </c>
      <c r="C12">
        <f>COUNTIFS(fin_table[Branch Code],B12,fin_table[[loan Default ]], "Default")</f>
        <v>2</v>
      </c>
      <c r="D12">
        <f>COUNTIFS(fin_table[Branch Code],B12,fin_table[[loan Default ]], "Default")</f>
        <v>2</v>
      </c>
      <c r="K12" t="str" cm="1">
        <f t="array" ref="K12:K612">_xlfn.UNIQUE(fin_table[Branch Code])</f>
        <v>BR901</v>
      </c>
      <c r="L12">
        <f>COUNTIFS(fin_table[Branch Code],K12,fin_table[Risk Level],"High-Risk")</f>
        <v>0</v>
      </c>
      <c r="N12" t="s">
        <v>966</v>
      </c>
      <c r="O12">
        <v>2</v>
      </c>
    </row>
    <row r="13" spans="2:19" x14ac:dyDescent="0.35">
      <c r="B13" t="s">
        <v>37</v>
      </c>
      <c r="C13">
        <f>COUNTIFS(fin_table[Branch Code],B13,fin_table[[loan Default ]], "Default")</f>
        <v>2</v>
      </c>
      <c r="D13">
        <f>COUNTIFS(fin_table[Branch Code],B13,fin_table[[loan Default ]], "Default")</f>
        <v>2</v>
      </c>
      <c r="K13" t="str">
        <v>BR209</v>
      </c>
      <c r="L13">
        <f>COUNTIFS(fin_table[Branch Code],K13,fin_table[Risk Level],"High-Risk")</f>
        <v>0</v>
      </c>
      <c r="N13" t="s">
        <v>1254</v>
      </c>
      <c r="O13">
        <v>2</v>
      </c>
    </row>
    <row r="14" spans="2:19" x14ac:dyDescent="0.35">
      <c r="B14" t="s">
        <v>43</v>
      </c>
      <c r="C14">
        <f>COUNTIFS(fin_table[Branch Code],B14,fin_table[[loan Default ]], "Default")</f>
        <v>0</v>
      </c>
      <c r="D14">
        <f>COUNTIFS(fin_table[Branch Code],B14,fin_table[[loan Default ]], "Default")</f>
        <v>0</v>
      </c>
      <c r="K14" t="str">
        <v>BR660</v>
      </c>
      <c r="L14">
        <f>COUNTIFS(fin_table[Branch Code],K14,fin_table[Risk Level],"High-Risk")</f>
        <v>0</v>
      </c>
      <c r="N14" t="s">
        <v>2105</v>
      </c>
      <c r="O14">
        <v>2</v>
      </c>
    </row>
    <row r="15" spans="2:19" x14ac:dyDescent="0.35">
      <c r="B15" t="s">
        <v>51</v>
      </c>
      <c r="C15">
        <f>COUNTIFS(fin_table[Branch Code],B15,fin_table[[loan Default ]], "Default")</f>
        <v>1</v>
      </c>
      <c r="D15">
        <f>COUNTIFS(fin_table[Branch Code],B15,fin_table[[loan Default ]], "Default")</f>
        <v>1</v>
      </c>
      <c r="K15" t="str">
        <v>BR740</v>
      </c>
      <c r="L15">
        <f>COUNTIFS(fin_table[Branch Code],K15,fin_table[Risk Level],"High-Risk")</f>
        <v>1</v>
      </c>
      <c r="N15" t="s">
        <v>51</v>
      </c>
      <c r="O15">
        <v>1</v>
      </c>
    </row>
    <row r="16" spans="2:19" x14ac:dyDescent="0.35">
      <c r="B16" t="s">
        <v>57</v>
      </c>
      <c r="C16">
        <f>COUNTIFS(fin_table[Branch Code],B16,fin_table[[loan Default ]], "Default")</f>
        <v>1</v>
      </c>
      <c r="D16">
        <f>COUNTIFS(fin_table[Branch Code],B16,fin_table[[loan Default ]], "Default")</f>
        <v>1</v>
      </c>
      <c r="K16" t="str">
        <v>BR684</v>
      </c>
      <c r="L16">
        <f>COUNTIFS(fin_table[Branch Code],K16,fin_table[Risk Level],"High-Risk")</f>
        <v>0</v>
      </c>
      <c r="N16" t="s">
        <v>113</v>
      </c>
      <c r="O16">
        <v>1</v>
      </c>
    </row>
    <row r="17" spans="2:15" x14ac:dyDescent="0.35">
      <c r="B17" t="s">
        <v>61</v>
      </c>
      <c r="C17">
        <f>COUNTIFS(fin_table[Branch Code],B17,fin_table[[loan Default ]], "Default")</f>
        <v>0</v>
      </c>
      <c r="D17">
        <f>COUNTIFS(fin_table[Branch Code],B17,fin_table[[loan Default ]], "Default")</f>
        <v>0</v>
      </c>
      <c r="K17" t="str">
        <v>BR439</v>
      </c>
      <c r="L17">
        <f>COUNTIFS(fin_table[Branch Code],K17,fin_table[Risk Level],"High-Risk")</f>
        <v>0</v>
      </c>
      <c r="N17" t="s">
        <v>121</v>
      </c>
      <c r="O17">
        <v>1</v>
      </c>
    </row>
    <row r="18" spans="2:15" x14ac:dyDescent="0.35">
      <c r="B18" t="s">
        <v>67</v>
      </c>
      <c r="C18">
        <f>COUNTIFS(fin_table[Branch Code],B18,fin_table[[loan Default ]], "Default")</f>
        <v>1</v>
      </c>
      <c r="D18">
        <f>COUNTIFS(fin_table[Branch Code],B18,fin_table[[loan Default ]], "Default")</f>
        <v>1</v>
      </c>
      <c r="K18" t="str">
        <v>BR664</v>
      </c>
      <c r="L18">
        <f>COUNTIFS(fin_table[Branch Code],K18,fin_table[Risk Level],"High-Risk")</f>
        <v>0</v>
      </c>
    </row>
    <row r="19" spans="2:15" x14ac:dyDescent="0.35">
      <c r="B19" t="s">
        <v>72</v>
      </c>
      <c r="C19">
        <f>COUNTIFS(fin_table[Branch Code],B19,fin_table[[loan Default ]], "Default")</f>
        <v>0</v>
      </c>
      <c r="D19">
        <f>COUNTIFS(fin_table[Branch Code],B19,fin_table[[loan Default ]], "Default")</f>
        <v>0</v>
      </c>
      <c r="K19" t="str">
        <v>BR455</v>
      </c>
      <c r="L19">
        <f>COUNTIFS(fin_table[Branch Code],K19,fin_table[Risk Level],"High-Risk")</f>
        <v>0</v>
      </c>
    </row>
    <row r="20" spans="2:15" x14ac:dyDescent="0.35">
      <c r="B20" t="s">
        <v>76</v>
      </c>
      <c r="C20">
        <f>COUNTIFS(fin_table[Branch Code],B20,fin_table[[loan Default ]], "Default")</f>
        <v>1</v>
      </c>
      <c r="D20">
        <f>COUNTIFS(fin_table[Branch Code],B20,fin_table[[loan Default ]], "Default")</f>
        <v>1</v>
      </c>
      <c r="K20" t="str">
        <v>BR991</v>
      </c>
      <c r="L20">
        <f>COUNTIFS(fin_table[Branch Code],K20,fin_table[Risk Level],"High-Risk")</f>
        <v>0</v>
      </c>
    </row>
    <row r="21" spans="2:15" x14ac:dyDescent="0.35">
      <c r="B21" t="s">
        <v>80</v>
      </c>
      <c r="C21">
        <f>COUNTIFS(fin_table[Branch Code],B21,fin_table[[loan Default ]], "Default")</f>
        <v>1</v>
      </c>
      <c r="D21">
        <f>COUNTIFS(fin_table[Branch Code],B21,fin_table[[loan Default ]], "Default")</f>
        <v>1</v>
      </c>
      <c r="K21" t="str">
        <v>BR267</v>
      </c>
      <c r="L21">
        <f>COUNTIFS(fin_table[Branch Code],K21,fin_table[Risk Level],"High-Risk")</f>
        <v>0</v>
      </c>
    </row>
    <row r="22" spans="2:15" x14ac:dyDescent="0.35">
      <c r="B22" t="s">
        <v>84</v>
      </c>
      <c r="C22">
        <f>COUNTIFS(fin_table[Branch Code],B22,fin_table[[loan Default ]], "Default")</f>
        <v>0</v>
      </c>
      <c r="D22">
        <f>COUNTIFS(fin_table[Branch Code],B22,fin_table[[loan Default ]], "Default")</f>
        <v>0</v>
      </c>
      <c r="K22" t="str">
        <v>BR656</v>
      </c>
      <c r="L22">
        <f>COUNTIFS(fin_table[Branch Code],K22,fin_table[Risk Level],"High-Risk")</f>
        <v>0</v>
      </c>
    </row>
    <row r="23" spans="2:15" x14ac:dyDescent="0.35">
      <c r="B23" t="s">
        <v>88</v>
      </c>
      <c r="C23">
        <f>COUNTIFS(fin_table[Branch Code],B23,fin_table[[loan Default ]], "Default")</f>
        <v>0</v>
      </c>
      <c r="D23">
        <f>COUNTIFS(fin_table[Branch Code],B23,fin_table[[loan Default ]], "Default")</f>
        <v>0</v>
      </c>
      <c r="K23" t="str">
        <v>BR551</v>
      </c>
      <c r="L23">
        <f>COUNTIFS(fin_table[Branch Code],K23,fin_table[Risk Level],"High-Risk")</f>
        <v>0</v>
      </c>
    </row>
    <row r="24" spans="2:15" x14ac:dyDescent="0.35">
      <c r="B24" t="s">
        <v>92</v>
      </c>
      <c r="C24">
        <f>COUNTIFS(fin_table[Branch Code],B24,fin_table[[loan Default ]], "Default")</f>
        <v>2</v>
      </c>
      <c r="D24">
        <f>COUNTIFS(fin_table[Branch Code],B24,fin_table[[loan Default ]], "Default")</f>
        <v>2</v>
      </c>
      <c r="K24" t="str">
        <v>BR204</v>
      </c>
      <c r="L24">
        <f>COUNTIFS(fin_table[Branch Code],K24,fin_table[Risk Level],"High-Risk")</f>
        <v>0</v>
      </c>
    </row>
    <row r="25" spans="2:15" x14ac:dyDescent="0.35">
      <c r="B25" t="s">
        <v>96</v>
      </c>
      <c r="C25">
        <f>COUNTIFS(fin_table[Branch Code],B25,fin_table[[loan Default ]], "Default")</f>
        <v>0</v>
      </c>
      <c r="D25">
        <f>COUNTIFS(fin_table[Branch Code],B25,fin_table[[loan Default ]], "Default")</f>
        <v>0</v>
      </c>
      <c r="K25" t="str">
        <v>BR249</v>
      </c>
      <c r="L25">
        <f>COUNTIFS(fin_table[Branch Code],K25,fin_table[Risk Level],"High-Risk")</f>
        <v>0</v>
      </c>
    </row>
    <row r="26" spans="2:15" x14ac:dyDescent="0.35">
      <c r="B26" t="s">
        <v>101</v>
      </c>
      <c r="C26">
        <f>COUNTIFS(fin_table[Branch Code],B26,fin_table[[loan Default ]], "Default")</f>
        <v>2</v>
      </c>
      <c r="D26">
        <f>COUNTIFS(fin_table[Branch Code],B26,fin_table[[loan Default ]], "Default")</f>
        <v>2</v>
      </c>
      <c r="K26" t="str">
        <v>BR245</v>
      </c>
      <c r="L26">
        <f>COUNTIFS(fin_table[Branch Code],K26,fin_table[Risk Level],"High-Risk")</f>
        <v>0</v>
      </c>
    </row>
    <row r="27" spans="2:15" x14ac:dyDescent="0.35">
      <c r="B27" t="s">
        <v>105</v>
      </c>
      <c r="C27">
        <f>COUNTIFS(fin_table[Branch Code],B27,fin_table[[loan Default ]], "Default")</f>
        <v>0</v>
      </c>
      <c r="D27">
        <f>COUNTIFS(fin_table[Branch Code],B27,fin_table[[loan Default ]], "Default")</f>
        <v>0</v>
      </c>
      <c r="K27" t="str">
        <v>BR815</v>
      </c>
      <c r="L27">
        <f>COUNTIFS(fin_table[Branch Code],K27,fin_table[Risk Level],"High-Risk")</f>
        <v>0</v>
      </c>
    </row>
    <row r="28" spans="2:15" x14ac:dyDescent="0.35">
      <c r="B28" t="s">
        <v>109</v>
      </c>
      <c r="C28">
        <f>COUNTIFS(fin_table[Branch Code],B28,fin_table[[loan Default ]], "Default")</f>
        <v>1</v>
      </c>
      <c r="D28">
        <f>COUNTIFS(fin_table[Branch Code],B28,fin_table[[loan Default ]], "Default")</f>
        <v>1</v>
      </c>
      <c r="K28" t="str">
        <v>BR973</v>
      </c>
      <c r="L28">
        <f>COUNTIFS(fin_table[Branch Code],K28,fin_table[Risk Level],"High-Risk")</f>
        <v>0</v>
      </c>
    </row>
    <row r="29" spans="2:15" x14ac:dyDescent="0.35">
      <c r="B29" t="s">
        <v>113</v>
      </c>
      <c r="C29">
        <f>COUNTIFS(fin_table[Branch Code],B29,fin_table[[loan Default ]], "Default")</f>
        <v>2</v>
      </c>
      <c r="D29">
        <f>COUNTIFS(fin_table[Branch Code],B29,fin_table[[loan Default ]], "Default")</f>
        <v>2</v>
      </c>
      <c r="K29" t="str">
        <v>BR398</v>
      </c>
      <c r="L29">
        <f>COUNTIFS(fin_table[Branch Code],K29,fin_table[Risk Level],"High-Risk")</f>
        <v>1</v>
      </c>
    </row>
    <row r="30" spans="2:15" x14ac:dyDescent="0.35">
      <c r="B30" t="s">
        <v>117</v>
      </c>
      <c r="C30">
        <f>COUNTIFS(fin_table[Branch Code],B30,fin_table[[loan Default ]], "Default")</f>
        <v>2</v>
      </c>
      <c r="D30">
        <f>COUNTIFS(fin_table[Branch Code],B30,fin_table[[loan Default ]], "Default")</f>
        <v>2</v>
      </c>
      <c r="K30" t="str">
        <v>BR266</v>
      </c>
      <c r="L30">
        <f>COUNTIFS(fin_table[Branch Code],K30,fin_table[Risk Level],"High-Risk")</f>
        <v>0</v>
      </c>
    </row>
    <row r="31" spans="2:15" x14ac:dyDescent="0.35">
      <c r="B31" t="s">
        <v>121</v>
      </c>
      <c r="C31">
        <f>COUNTIFS(fin_table[Branch Code],B31,fin_table[[loan Default ]], "Default")</f>
        <v>2</v>
      </c>
      <c r="D31">
        <f>COUNTIFS(fin_table[Branch Code],B31,fin_table[[loan Default ]], "Default")</f>
        <v>2</v>
      </c>
      <c r="K31" t="str">
        <v>BR812</v>
      </c>
      <c r="L31">
        <f>COUNTIFS(fin_table[Branch Code],K31,fin_table[Risk Level],"High-Risk")</f>
        <v>1</v>
      </c>
    </row>
    <row r="32" spans="2:15" x14ac:dyDescent="0.35">
      <c r="B32" t="s">
        <v>126</v>
      </c>
      <c r="C32">
        <f>COUNTIFS(fin_table[Branch Code],B32,fin_table[[loan Default ]], "Default")</f>
        <v>0</v>
      </c>
      <c r="D32">
        <f>COUNTIFS(fin_table[Branch Code],B32,fin_table[[loan Default ]], "Default")</f>
        <v>0</v>
      </c>
      <c r="K32" t="str">
        <v>BR745</v>
      </c>
      <c r="L32">
        <f>COUNTIFS(fin_table[Branch Code],K32,fin_table[Risk Level],"High-Risk")</f>
        <v>0</v>
      </c>
    </row>
    <row r="33" spans="2:12" x14ac:dyDescent="0.35">
      <c r="B33" t="s">
        <v>130</v>
      </c>
      <c r="C33">
        <f>COUNTIFS(fin_table[Branch Code],B33,fin_table[[loan Default ]], "Default")</f>
        <v>0</v>
      </c>
      <c r="D33">
        <f>COUNTIFS(fin_table[Branch Code],B33,fin_table[[loan Default ]], "Default")</f>
        <v>0</v>
      </c>
      <c r="K33" t="str">
        <v>BR822</v>
      </c>
      <c r="L33">
        <f>COUNTIFS(fin_table[Branch Code],K33,fin_table[Risk Level],"High-Risk")</f>
        <v>0</v>
      </c>
    </row>
    <row r="34" spans="2:12" x14ac:dyDescent="0.35">
      <c r="B34" t="s">
        <v>134</v>
      </c>
      <c r="C34">
        <f>COUNTIFS(fin_table[Branch Code],B34,fin_table[[loan Default ]], "Default")</f>
        <v>0</v>
      </c>
      <c r="D34">
        <f>COUNTIFS(fin_table[Branch Code],B34,fin_table[[loan Default ]], "Default")</f>
        <v>0</v>
      </c>
      <c r="K34" t="str">
        <v>BR147</v>
      </c>
      <c r="L34">
        <f>COUNTIFS(fin_table[Branch Code],K34,fin_table[Risk Level],"High-Risk")</f>
        <v>0</v>
      </c>
    </row>
    <row r="35" spans="2:12" x14ac:dyDescent="0.35">
      <c r="B35" t="s">
        <v>138</v>
      </c>
      <c r="C35">
        <f>COUNTIFS(fin_table[Branch Code],B35,fin_table[[loan Default ]], "Default")</f>
        <v>0</v>
      </c>
      <c r="D35">
        <f>COUNTIFS(fin_table[Branch Code],B35,fin_table[[loan Default ]], "Default")</f>
        <v>0</v>
      </c>
      <c r="K35" t="str">
        <v>BR737</v>
      </c>
      <c r="L35">
        <f>COUNTIFS(fin_table[Branch Code],K35,fin_table[Risk Level],"High-Risk")</f>
        <v>0</v>
      </c>
    </row>
    <row r="36" spans="2:12" x14ac:dyDescent="0.35">
      <c r="B36" t="s">
        <v>142</v>
      </c>
      <c r="C36">
        <f>COUNTIFS(fin_table[Branch Code],B36,fin_table[[loan Default ]], "Default")</f>
        <v>1</v>
      </c>
      <c r="D36">
        <f>COUNTIFS(fin_table[Branch Code],B36,fin_table[[loan Default ]], "Default")</f>
        <v>1</v>
      </c>
      <c r="K36" t="str">
        <v>BR338</v>
      </c>
      <c r="L36">
        <f>COUNTIFS(fin_table[Branch Code],K36,fin_table[Risk Level],"High-Risk")</f>
        <v>0</v>
      </c>
    </row>
    <row r="37" spans="2:12" x14ac:dyDescent="0.35">
      <c r="B37" t="s">
        <v>146</v>
      </c>
      <c r="C37">
        <f>COUNTIFS(fin_table[Branch Code],B37,fin_table[[loan Default ]], "Default")</f>
        <v>1</v>
      </c>
      <c r="D37">
        <f>COUNTIFS(fin_table[Branch Code],B37,fin_table[[loan Default ]], "Default")</f>
        <v>1</v>
      </c>
      <c r="K37" t="str">
        <v>BR106</v>
      </c>
      <c r="L37">
        <f>COUNTIFS(fin_table[Branch Code],K37,fin_table[Risk Level],"High-Risk")</f>
        <v>0</v>
      </c>
    </row>
    <row r="38" spans="2:12" x14ac:dyDescent="0.35">
      <c r="B38" t="s">
        <v>150</v>
      </c>
      <c r="C38">
        <f>COUNTIFS(fin_table[Branch Code],B38,fin_table[[loan Default ]], "Default")</f>
        <v>1</v>
      </c>
      <c r="D38">
        <f>COUNTIFS(fin_table[Branch Code],B38,fin_table[[loan Default ]], "Default")</f>
        <v>1</v>
      </c>
      <c r="K38" t="str">
        <v>BR563</v>
      </c>
      <c r="L38">
        <f>COUNTIFS(fin_table[Branch Code],K38,fin_table[Risk Level],"High-Risk")</f>
        <v>1</v>
      </c>
    </row>
    <row r="39" spans="2:12" x14ac:dyDescent="0.35">
      <c r="B39" t="s">
        <v>154</v>
      </c>
      <c r="C39">
        <f>COUNTIFS(fin_table[Branch Code],B39,fin_table[[loan Default ]], "Default")</f>
        <v>0</v>
      </c>
      <c r="D39">
        <f>COUNTIFS(fin_table[Branch Code],B39,fin_table[[loan Default ]], "Default")</f>
        <v>0</v>
      </c>
      <c r="K39" t="str">
        <v>BR552</v>
      </c>
      <c r="L39">
        <f>COUNTIFS(fin_table[Branch Code],K39,fin_table[Risk Level],"High-Risk")</f>
        <v>0</v>
      </c>
    </row>
    <row r="40" spans="2:12" x14ac:dyDescent="0.35">
      <c r="B40" t="s">
        <v>158</v>
      </c>
      <c r="C40">
        <f>COUNTIFS(fin_table[Branch Code],B40,fin_table[[loan Default ]], "Default")</f>
        <v>0</v>
      </c>
      <c r="D40">
        <f>COUNTIFS(fin_table[Branch Code],B40,fin_table[[loan Default ]], "Default")</f>
        <v>0</v>
      </c>
      <c r="K40" t="str">
        <v>BR883</v>
      </c>
      <c r="L40">
        <f>COUNTIFS(fin_table[Branch Code],K40,fin_table[Risk Level],"High-Risk")</f>
        <v>0</v>
      </c>
    </row>
    <row r="41" spans="2:12" x14ac:dyDescent="0.35">
      <c r="B41" t="s">
        <v>162</v>
      </c>
      <c r="C41">
        <f>COUNTIFS(fin_table[Branch Code],B41,fin_table[[loan Default ]], "Default")</f>
        <v>0</v>
      </c>
      <c r="D41">
        <f>COUNTIFS(fin_table[Branch Code],B41,fin_table[[loan Default ]], "Default")</f>
        <v>0</v>
      </c>
      <c r="K41" t="str">
        <v>BR996</v>
      </c>
      <c r="L41">
        <f>COUNTIFS(fin_table[Branch Code],K41,fin_table[Risk Level],"High-Risk")</f>
        <v>0</v>
      </c>
    </row>
    <row r="42" spans="2:12" x14ac:dyDescent="0.35">
      <c r="B42" t="s">
        <v>166</v>
      </c>
      <c r="C42">
        <f>COUNTIFS(fin_table[Branch Code],B42,fin_table[[loan Default ]], "Default")</f>
        <v>0</v>
      </c>
      <c r="D42">
        <f>COUNTIFS(fin_table[Branch Code],B42,fin_table[[loan Default ]], "Default")</f>
        <v>0</v>
      </c>
      <c r="K42" t="str">
        <v>BR470</v>
      </c>
      <c r="L42">
        <f>COUNTIFS(fin_table[Branch Code],K42,fin_table[Risk Level],"High-Risk")</f>
        <v>0</v>
      </c>
    </row>
    <row r="43" spans="2:12" x14ac:dyDescent="0.35">
      <c r="B43" t="s">
        <v>170</v>
      </c>
      <c r="C43">
        <f>COUNTIFS(fin_table[Branch Code],B43,fin_table[[loan Default ]], "Default")</f>
        <v>0</v>
      </c>
      <c r="D43">
        <f>COUNTIFS(fin_table[Branch Code],B43,fin_table[[loan Default ]], "Default")</f>
        <v>0</v>
      </c>
      <c r="K43" t="str">
        <v>BR648</v>
      </c>
      <c r="L43">
        <f>COUNTIFS(fin_table[Branch Code],K43,fin_table[Risk Level],"High-Risk")</f>
        <v>0</v>
      </c>
    </row>
    <row r="44" spans="2:12" x14ac:dyDescent="0.35">
      <c r="B44" t="s">
        <v>174</v>
      </c>
      <c r="C44">
        <f>COUNTIFS(fin_table[Branch Code],B44,fin_table[[loan Default ]], "Default")</f>
        <v>1</v>
      </c>
      <c r="D44">
        <f>COUNTIFS(fin_table[Branch Code],B44,fin_table[[loan Default ]], "Default")</f>
        <v>1</v>
      </c>
      <c r="K44" t="str">
        <v>BR586</v>
      </c>
      <c r="L44">
        <f>COUNTIFS(fin_table[Branch Code],K44,fin_table[Risk Level],"High-Risk")</f>
        <v>0</v>
      </c>
    </row>
    <row r="45" spans="2:12" x14ac:dyDescent="0.35">
      <c r="B45" t="s">
        <v>178</v>
      </c>
      <c r="C45">
        <f>COUNTIFS(fin_table[Branch Code],B45,fin_table[[loan Default ]], "Default")</f>
        <v>1</v>
      </c>
      <c r="D45">
        <f>COUNTIFS(fin_table[Branch Code],B45,fin_table[[loan Default ]], "Default")</f>
        <v>1</v>
      </c>
      <c r="K45" t="str">
        <v>BR310</v>
      </c>
      <c r="L45">
        <f>COUNTIFS(fin_table[Branch Code],K45,fin_table[Risk Level],"High-Risk")</f>
        <v>0</v>
      </c>
    </row>
    <row r="46" spans="2:12" x14ac:dyDescent="0.35">
      <c r="B46" t="s">
        <v>182</v>
      </c>
      <c r="C46">
        <f>COUNTIFS(fin_table[Branch Code],B46,fin_table[[loan Default ]], "Default")</f>
        <v>0</v>
      </c>
      <c r="D46">
        <f>COUNTIFS(fin_table[Branch Code],B46,fin_table[[loan Default ]], "Default")</f>
        <v>0</v>
      </c>
      <c r="K46" t="str">
        <v>BR264</v>
      </c>
      <c r="L46">
        <f>COUNTIFS(fin_table[Branch Code],K46,fin_table[Risk Level],"High-Risk")</f>
        <v>0</v>
      </c>
    </row>
    <row r="47" spans="2:12" x14ac:dyDescent="0.35">
      <c r="B47" t="s">
        <v>186</v>
      </c>
      <c r="C47">
        <f>COUNTIFS(fin_table[Branch Code],B47,fin_table[[loan Default ]], "Default")</f>
        <v>0</v>
      </c>
      <c r="D47">
        <f>COUNTIFS(fin_table[Branch Code],B47,fin_table[[loan Default ]], "Default")</f>
        <v>0</v>
      </c>
      <c r="K47" t="str">
        <v>BR224</v>
      </c>
      <c r="L47">
        <f>COUNTIFS(fin_table[Branch Code],K47,fin_table[Risk Level],"High-Risk")</f>
        <v>0</v>
      </c>
    </row>
    <row r="48" spans="2:12" x14ac:dyDescent="0.35">
      <c r="B48" t="s">
        <v>190</v>
      </c>
      <c r="C48">
        <f>COUNTIFS(fin_table[Branch Code],B48,fin_table[[loan Default ]], "Default")</f>
        <v>0</v>
      </c>
      <c r="D48">
        <f>COUNTIFS(fin_table[Branch Code],B48,fin_table[[loan Default ]], "Default")</f>
        <v>0</v>
      </c>
      <c r="K48" t="str">
        <v>BR436</v>
      </c>
      <c r="L48">
        <f>COUNTIFS(fin_table[Branch Code],K48,fin_table[Risk Level],"High-Risk")</f>
        <v>0</v>
      </c>
    </row>
    <row r="49" spans="2:12" x14ac:dyDescent="0.35">
      <c r="B49" t="s">
        <v>194</v>
      </c>
      <c r="C49">
        <f>COUNTIFS(fin_table[Branch Code],B49,fin_table[[loan Default ]], "Default")</f>
        <v>1</v>
      </c>
      <c r="D49">
        <f>COUNTIFS(fin_table[Branch Code],B49,fin_table[[loan Default ]], "Default")</f>
        <v>1</v>
      </c>
      <c r="K49" t="str">
        <v>BR291</v>
      </c>
      <c r="L49">
        <f>COUNTIFS(fin_table[Branch Code],K49,fin_table[Risk Level],"High-Risk")</f>
        <v>1</v>
      </c>
    </row>
    <row r="50" spans="2:12" x14ac:dyDescent="0.35">
      <c r="B50" t="s">
        <v>198</v>
      </c>
      <c r="C50">
        <f>COUNTIFS(fin_table[Branch Code],B50,fin_table[[loan Default ]], "Default")</f>
        <v>2</v>
      </c>
      <c r="D50">
        <f>COUNTIFS(fin_table[Branch Code],B50,fin_table[[loan Default ]], "Default")</f>
        <v>2</v>
      </c>
      <c r="K50" t="str">
        <v>BR829</v>
      </c>
      <c r="L50">
        <f>COUNTIFS(fin_table[Branch Code],K50,fin_table[Risk Level],"High-Risk")</f>
        <v>0</v>
      </c>
    </row>
    <row r="51" spans="2:12" x14ac:dyDescent="0.35">
      <c r="B51" t="s">
        <v>202</v>
      </c>
      <c r="C51">
        <f>COUNTIFS(fin_table[Branch Code],B51,fin_table[[loan Default ]], "Default")</f>
        <v>0</v>
      </c>
      <c r="D51">
        <f>COUNTIFS(fin_table[Branch Code],B51,fin_table[[loan Default ]], "Default")</f>
        <v>0</v>
      </c>
      <c r="K51" t="str">
        <v>BR313</v>
      </c>
      <c r="L51">
        <f>COUNTIFS(fin_table[Branch Code],K51,fin_table[Risk Level],"High-Risk")</f>
        <v>0</v>
      </c>
    </row>
    <row r="52" spans="2:12" x14ac:dyDescent="0.35">
      <c r="B52" t="s">
        <v>206</v>
      </c>
      <c r="C52">
        <f>COUNTIFS(fin_table[Branch Code],B52,fin_table[[loan Default ]], "Default")</f>
        <v>1</v>
      </c>
      <c r="D52">
        <f>COUNTIFS(fin_table[Branch Code],B52,fin_table[[loan Default ]], "Default")</f>
        <v>1</v>
      </c>
      <c r="K52" t="str">
        <v>BR673</v>
      </c>
      <c r="L52">
        <f>COUNTIFS(fin_table[Branch Code],K52,fin_table[Risk Level],"High-Risk")</f>
        <v>0</v>
      </c>
    </row>
    <row r="53" spans="2:12" x14ac:dyDescent="0.35">
      <c r="B53" t="s">
        <v>210</v>
      </c>
      <c r="C53">
        <f>COUNTIFS(fin_table[Branch Code],B53,fin_table[[loan Default ]], "Default")</f>
        <v>1</v>
      </c>
      <c r="D53">
        <f>COUNTIFS(fin_table[Branch Code],B53,fin_table[[loan Default ]], "Default")</f>
        <v>1</v>
      </c>
      <c r="K53" t="str">
        <v>BR427</v>
      </c>
      <c r="L53">
        <f>COUNTIFS(fin_table[Branch Code],K53,fin_table[Risk Level],"High-Risk")</f>
        <v>1</v>
      </c>
    </row>
    <row r="54" spans="2:12" x14ac:dyDescent="0.35">
      <c r="B54" t="s">
        <v>214</v>
      </c>
      <c r="C54">
        <f>COUNTIFS(fin_table[Branch Code],B54,fin_table[[loan Default ]], "Default")</f>
        <v>3</v>
      </c>
      <c r="D54">
        <f>COUNTIFS(fin_table[Branch Code],B54,fin_table[[loan Default ]], "Default")</f>
        <v>3</v>
      </c>
      <c r="K54" t="str">
        <v>BR480</v>
      </c>
      <c r="L54">
        <f>COUNTIFS(fin_table[Branch Code],K54,fin_table[Risk Level],"High-Risk")</f>
        <v>0</v>
      </c>
    </row>
    <row r="55" spans="2:12" x14ac:dyDescent="0.35">
      <c r="B55" t="s">
        <v>218</v>
      </c>
      <c r="C55">
        <f>COUNTIFS(fin_table[Branch Code],B55,fin_table[[loan Default ]], "Default")</f>
        <v>1</v>
      </c>
      <c r="D55">
        <f>COUNTIFS(fin_table[Branch Code],B55,fin_table[[loan Default ]], "Default")</f>
        <v>1</v>
      </c>
      <c r="K55" t="str">
        <v>BR772</v>
      </c>
      <c r="L55">
        <f>COUNTIFS(fin_table[Branch Code],K55,fin_table[Risk Level],"High-Risk")</f>
        <v>0</v>
      </c>
    </row>
    <row r="56" spans="2:12" x14ac:dyDescent="0.35">
      <c r="B56" t="s">
        <v>222</v>
      </c>
      <c r="C56">
        <f>COUNTIFS(fin_table[Branch Code],B56,fin_table[[loan Default ]], "Default")</f>
        <v>1</v>
      </c>
      <c r="D56">
        <f>COUNTIFS(fin_table[Branch Code],B56,fin_table[[loan Default ]], "Default")</f>
        <v>1</v>
      </c>
      <c r="K56" t="str">
        <v>BR677</v>
      </c>
      <c r="L56">
        <f>COUNTIFS(fin_table[Branch Code],K56,fin_table[Risk Level],"High-Risk")</f>
        <v>0</v>
      </c>
    </row>
    <row r="57" spans="2:12" x14ac:dyDescent="0.35">
      <c r="B57" t="s">
        <v>226</v>
      </c>
      <c r="C57">
        <f>COUNTIFS(fin_table[Branch Code],B57,fin_table[[loan Default ]], "Default")</f>
        <v>1</v>
      </c>
      <c r="D57">
        <f>COUNTIFS(fin_table[Branch Code],B57,fin_table[[loan Default ]], "Default")</f>
        <v>1</v>
      </c>
      <c r="K57" t="str">
        <v>BR897</v>
      </c>
      <c r="L57">
        <f>COUNTIFS(fin_table[Branch Code],K57,fin_table[Risk Level],"High-Risk")</f>
        <v>1</v>
      </c>
    </row>
    <row r="58" spans="2:12" x14ac:dyDescent="0.35">
      <c r="B58" t="s">
        <v>233</v>
      </c>
      <c r="C58">
        <f>COUNTIFS(fin_table[Branch Code],B58,fin_table[[loan Default ]], "Default")</f>
        <v>1</v>
      </c>
      <c r="D58">
        <f>COUNTIFS(fin_table[Branch Code],B58,fin_table[[loan Default ]], "Default")</f>
        <v>1</v>
      </c>
      <c r="K58" t="str">
        <v>BR631</v>
      </c>
      <c r="L58">
        <f>COUNTIFS(fin_table[Branch Code],K58,fin_table[Risk Level],"High-Risk")</f>
        <v>0</v>
      </c>
    </row>
    <row r="59" spans="2:12" x14ac:dyDescent="0.35">
      <c r="B59" t="s">
        <v>237</v>
      </c>
      <c r="C59">
        <f>COUNTIFS(fin_table[Branch Code],B59,fin_table[[loan Default ]], "Default")</f>
        <v>1</v>
      </c>
      <c r="D59">
        <f>COUNTIFS(fin_table[Branch Code],B59,fin_table[[loan Default ]], "Default")</f>
        <v>1</v>
      </c>
      <c r="K59" t="str">
        <v>BR799</v>
      </c>
      <c r="L59">
        <f>COUNTIFS(fin_table[Branch Code],K59,fin_table[Risk Level],"High-Risk")</f>
        <v>0</v>
      </c>
    </row>
    <row r="60" spans="2:12" x14ac:dyDescent="0.35">
      <c r="B60" t="s">
        <v>241</v>
      </c>
      <c r="C60">
        <f>COUNTIFS(fin_table[Branch Code],B60,fin_table[[loan Default ]], "Default")</f>
        <v>1</v>
      </c>
      <c r="D60">
        <f>COUNTIFS(fin_table[Branch Code],B60,fin_table[[loan Default ]], "Default")</f>
        <v>1</v>
      </c>
      <c r="K60" t="str">
        <v>BR181</v>
      </c>
      <c r="L60">
        <f>COUNTIFS(fin_table[Branch Code],K60,fin_table[Risk Level],"High-Risk")</f>
        <v>0</v>
      </c>
    </row>
    <row r="61" spans="2:12" x14ac:dyDescent="0.35">
      <c r="B61" t="s">
        <v>245</v>
      </c>
      <c r="C61">
        <f>COUNTIFS(fin_table[Branch Code],B61,fin_table[[loan Default ]], "Default")</f>
        <v>0</v>
      </c>
      <c r="D61">
        <f>COUNTIFS(fin_table[Branch Code],B61,fin_table[[loan Default ]], "Default")</f>
        <v>0</v>
      </c>
      <c r="K61" t="str">
        <v>BR462</v>
      </c>
      <c r="L61">
        <f>COUNTIFS(fin_table[Branch Code],K61,fin_table[Risk Level],"High-Risk")</f>
        <v>0</v>
      </c>
    </row>
    <row r="62" spans="2:12" x14ac:dyDescent="0.35">
      <c r="B62" t="s">
        <v>249</v>
      </c>
      <c r="C62">
        <f>COUNTIFS(fin_table[Branch Code],B62,fin_table[[loan Default ]], "Default")</f>
        <v>1</v>
      </c>
      <c r="D62">
        <f>COUNTIFS(fin_table[Branch Code],B62,fin_table[[loan Default ]], "Default")</f>
        <v>1</v>
      </c>
      <c r="K62" t="str">
        <v>BR604</v>
      </c>
      <c r="L62">
        <f>COUNTIFS(fin_table[Branch Code],K62,fin_table[Risk Level],"High-Risk")</f>
        <v>0</v>
      </c>
    </row>
    <row r="63" spans="2:12" x14ac:dyDescent="0.35">
      <c r="B63" t="s">
        <v>253</v>
      </c>
      <c r="C63">
        <f>COUNTIFS(fin_table[Branch Code],B63,fin_table[[loan Default ]], "Default")</f>
        <v>1</v>
      </c>
      <c r="D63">
        <f>COUNTIFS(fin_table[Branch Code],B63,fin_table[[loan Default ]], "Default")</f>
        <v>1</v>
      </c>
      <c r="K63" t="str">
        <v>BR301</v>
      </c>
      <c r="L63">
        <f>COUNTIFS(fin_table[Branch Code],K63,fin_table[Risk Level],"High-Risk")</f>
        <v>0</v>
      </c>
    </row>
    <row r="64" spans="2:12" x14ac:dyDescent="0.35">
      <c r="B64" t="s">
        <v>257</v>
      </c>
      <c r="C64">
        <f>COUNTIFS(fin_table[Branch Code],B64,fin_table[[loan Default ]], "Default")</f>
        <v>0</v>
      </c>
      <c r="D64">
        <f>COUNTIFS(fin_table[Branch Code],B64,fin_table[[loan Default ]], "Default")</f>
        <v>0</v>
      </c>
      <c r="K64" t="str">
        <v>BR603</v>
      </c>
      <c r="L64">
        <f>COUNTIFS(fin_table[Branch Code],K64,fin_table[Risk Level],"High-Risk")</f>
        <v>1</v>
      </c>
    </row>
    <row r="65" spans="2:12" x14ac:dyDescent="0.35">
      <c r="B65" t="s">
        <v>261</v>
      </c>
      <c r="C65">
        <f>COUNTIFS(fin_table[Branch Code],B65,fin_table[[loan Default ]], "Default")</f>
        <v>1</v>
      </c>
      <c r="D65">
        <f>COUNTIFS(fin_table[Branch Code],B65,fin_table[[loan Default ]], "Default")</f>
        <v>1</v>
      </c>
      <c r="K65" t="str">
        <v>BR743</v>
      </c>
      <c r="L65">
        <f>COUNTIFS(fin_table[Branch Code],K65,fin_table[Risk Level],"High-Risk")</f>
        <v>0</v>
      </c>
    </row>
    <row r="66" spans="2:12" x14ac:dyDescent="0.35">
      <c r="B66" t="s">
        <v>265</v>
      </c>
      <c r="C66">
        <f>COUNTIFS(fin_table[Branch Code],B66,fin_table[[loan Default ]], "Default")</f>
        <v>0</v>
      </c>
      <c r="D66">
        <f>COUNTIFS(fin_table[Branch Code],B66,fin_table[[loan Default ]], "Default")</f>
        <v>0</v>
      </c>
      <c r="K66" t="str">
        <v>BR136</v>
      </c>
      <c r="L66">
        <f>COUNTIFS(fin_table[Branch Code],K66,fin_table[Risk Level],"High-Risk")</f>
        <v>0</v>
      </c>
    </row>
    <row r="67" spans="2:12" x14ac:dyDescent="0.35">
      <c r="B67" t="s">
        <v>272</v>
      </c>
      <c r="C67">
        <f>COUNTIFS(fin_table[Branch Code],B67,fin_table[[loan Default ]], "Default")</f>
        <v>1</v>
      </c>
      <c r="D67">
        <f>COUNTIFS(fin_table[Branch Code],B67,fin_table[[loan Default ]], "Default")</f>
        <v>1</v>
      </c>
      <c r="K67" t="str">
        <v>BR688</v>
      </c>
      <c r="L67">
        <f>COUNTIFS(fin_table[Branch Code],K67,fin_table[Risk Level],"High-Risk")</f>
        <v>0</v>
      </c>
    </row>
    <row r="68" spans="2:12" x14ac:dyDescent="0.35">
      <c r="B68" t="s">
        <v>276</v>
      </c>
      <c r="C68">
        <f>COUNTIFS(fin_table[Branch Code],B68,fin_table[[loan Default ]], "Default")</f>
        <v>1</v>
      </c>
      <c r="D68">
        <f>COUNTIFS(fin_table[Branch Code],B68,fin_table[[loan Default ]], "Default")</f>
        <v>1</v>
      </c>
      <c r="K68" t="str">
        <v>BR700</v>
      </c>
      <c r="L68">
        <f>COUNTIFS(fin_table[Branch Code],K68,fin_table[Risk Level],"High-Risk")</f>
        <v>0</v>
      </c>
    </row>
    <row r="69" spans="2:12" x14ac:dyDescent="0.35">
      <c r="B69" t="s">
        <v>280</v>
      </c>
      <c r="C69">
        <f>COUNTIFS(fin_table[Branch Code],B69,fin_table[[loan Default ]], "Default")</f>
        <v>2</v>
      </c>
      <c r="D69">
        <f>COUNTIFS(fin_table[Branch Code],B69,fin_table[[loan Default ]], "Default")</f>
        <v>2</v>
      </c>
      <c r="K69" t="str">
        <v>BR501</v>
      </c>
      <c r="L69">
        <f>COUNTIFS(fin_table[Branch Code],K69,fin_table[Risk Level],"High-Risk")</f>
        <v>0</v>
      </c>
    </row>
    <row r="70" spans="2:12" x14ac:dyDescent="0.35">
      <c r="B70" t="s">
        <v>284</v>
      </c>
      <c r="C70">
        <f>COUNTIFS(fin_table[Branch Code],B70,fin_table[[loan Default ]], "Default")</f>
        <v>0</v>
      </c>
      <c r="D70">
        <f>COUNTIFS(fin_table[Branch Code],B70,fin_table[[loan Default ]], "Default")</f>
        <v>0</v>
      </c>
      <c r="K70" t="str">
        <v>BR864</v>
      </c>
      <c r="L70">
        <f>COUNTIFS(fin_table[Branch Code],K70,fin_table[Risk Level],"High-Risk")</f>
        <v>0</v>
      </c>
    </row>
    <row r="71" spans="2:12" x14ac:dyDescent="0.35">
      <c r="B71" t="s">
        <v>288</v>
      </c>
      <c r="C71">
        <f>COUNTIFS(fin_table[Branch Code],B71,fin_table[[loan Default ]], "Default")</f>
        <v>0</v>
      </c>
      <c r="D71">
        <f>COUNTIFS(fin_table[Branch Code],B71,fin_table[[loan Default ]], "Default")</f>
        <v>0</v>
      </c>
      <c r="K71" t="str">
        <v>BR955</v>
      </c>
      <c r="L71">
        <f>COUNTIFS(fin_table[Branch Code],K71,fin_table[Risk Level],"High-Risk")</f>
        <v>0</v>
      </c>
    </row>
    <row r="72" spans="2:12" x14ac:dyDescent="0.35">
      <c r="B72" t="s">
        <v>292</v>
      </c>
      <c r="C72">
        <f>COUNTIFS(fin_table[Branch Code],B72,fin_table[[loan Default ]], "Default")</f>
        <v>3</v>
      </c>
      <c r="D72">
        <f>COUNTIFS(fin_table[Branch Code],B72,fin_table[[loan Default ]], "Default")</f>
        <v>3</v>
      </c>
      <c r="K72" t="str">
        <v>BR805</v>
      </c>
      <c r="L72">
        <f>COUNTIFS(fin_table[Branch Code],K72,fin_table[Risk Level],"High-Risk")</f>
        <v>1</v>
      </c>
    </row>
    <row r="73" spans="2:12" x14ac:dyDescent="0.35">
      <c r="B73" t="s">
        <v>296</v>
      </c>
      <c r="C73">
        <f>COUNTIFS(fin_table[Branch Code],B73,fin_table[[loan Default ]], "Default")</f>
        <v>1</v>
      </c>
      <c r="D73">
        <f>COUNTIFS(fin_table[Branch Code],B73,fin_table[[loan Default ]], "Default")</f>
        <v>1</v>
      </c>
      <c r="K73" t="str">
        <v>BR275</v>
      </c>
      <c r="L73">
        <f>COUNTIFS(fin_table[Branch Code],K73,fin_table[Risk Level],"High-Risk")</f>
        <v>0</v>
      </c>
    </row>
    <row r="74" spans="2:12" x14ac:dyDescent="0.35">
      <c r="B74" t="s">
        <v>300</v>
      </c>
      <c r="C74">
        <f>COUNTIFS(fin_table[Branch Code],B74,fin_table[[loan Default ]], "Default")</f>
        <v>1</v>
      </c>
      <c r="D74">
        <f>COUNTIFS(fin_table[Branch Code],B74,fin_table[[loan Default ]], "Default")</f>
        <v>1</v>
      </c>
      <c r="K74" t="str">
        <v>BR644</v>
      </c>
      <c r="L74">
        <f>COUNTIFS(fin_table[Branch Code],K74,fin_table[Risk Level],"High-Risk")</f>
        <v>0</v>
      </c>
    </row>
    <row r="75" spans="2:12" x14ac:dyDescent="0.35">
      <c r="B75" t="s">
        <v>304</v>
      </c>
      <c r="C75">
        <f>COUNTIFS(fin_table[Branch Code],B75,fin_table[[loan Default ]], "Default")</f>
        <v>0</v>
      </c>
      <c r="D75">
        <f>COUNTIFS(fin_table[Branch Code],B75,fin_table[[loan Default ]], "Default")</f>
        <v>0</v>
      </c>
      <c r="K75" t="str">
        <v>BR669</v>
      </c>
      <c r="L75">
        <f>COUNTIFS(fin_table[Branch Code],K75,fin_table[Risk Level],"High-Risk")</f>
        <v>0</v>
      </c>
    </row>
    <row r="76" spans="2:12" x14ac:dyDescent="0.35">
      <c r="B76" t="s">
        <v>308</v>
      </c>
      <c r="C76">
        <f>COUNTIFS(fin_table[Branch Code],B76,fin_table[[loan Default ]], "Default")</f>
        <v>0</v>
      </c>
      <c r="D76">
        <f>COUNTIFS(fin_table[Branch Code],B76,fin_table[[loan Default ]], "Default")</f>
        <v>0</v>
      </c>
      <c r="K76" t="str">
        <v>BR566</v>
      </c>
      <c r="L76">
        <f>COUNTIFS(fin_table[Branch Code],K76,fin_table[Risk Level],"High-Risk")</f>
        <v>0</v>
      </c>
    </row>
    <row r="77" spans="2:12" x14ac:dyDescent="0.35">
      <c r="B77" t="s">
        <v>312</v>
      </c>
      <c r="C77">
        <f>COUNTIFS(fin_table[Branch Code],B77,fin_table[[loan Default ]], "Default")</f>
        <v>1</v>
      </c>
      <c r="D77">
        <f>COUNTIFS(fin_table[Branch Code],B77,fin_table[[loan Default ]], "Default")</f>
        <v>1</v>
      </c>
      <c r="K77" t="str">
        <v>BR300</v>
      </c>
      <c r="L77">
        <f>COUNTIFS(fin_table[Branch Code],K77,fin_table[Risk Level],"High-Risk")</f>
        <v>0</v>
      </c>
    </row>
    <row r="78" spans="2:12" x14ac:dyDescent="0.35">
      <c r="B78" t="s">
        <v>316</v>
      </c>
      <c r="C78">
        <f>COUNTIFS(fin_table[Branch Code],B78,fin_table[[loan Default ]], "Default")</f>
        <v>2</v>
      </c>
      <c r="D78">
        <f>COUNTIFS(fin_table[Branch Code],B78,fin_table[[loan Default ]], "Default")</f>
        <v>2</v>
      </c>
      <c r="K78" t="str">
        <v>BR639</v>
      </c>
      <c r="L78">
        <f>COUNTIFS(fin_table[Branch Code],K78,fin_table[Risk Level],"High-Risk")</f>
        <v>0</v>
      </c>
    </row>
    <row r="79" spans="2:12" x14ac:dyDescent="0.35">
      <c r="B79" t="s">
        <v>320</v>
      </c>
      <c r="C79">
        <f>COUNTIFS(fin_table[Branch Code],B79,fin_table[[loan Default ]], "Default")</f>
        <v>0</v>
      </c>
      <c r="D79">
        <f>COUNTIFS(fin_table[Branch Code],B79,fin_table[[loan Default ]], "Default")</f>
        <v>0</v>
      </c>
      <c r="K79" t="str">
        <v>BR646</v>
      </c>
      <c r="L79">
        <f>COUNTIFS(fin_table[Branch Code],K79,fin_table[Risk Level],"High-Risk")</f>
        <v>0</v>
      </c>
    </row>
    <row r="80" spans="2:12" x14ac:dyDescent="0.35">
      <c r="B80" t="s">
        <v>324</v>
      </c>
      <c r="C80">
        <f>COUNTIFS(fin_table[Branch Code],B80,fin_table[[loan Default ]], "Default")</f>
        <v>1</v>
      </c>
      <c r="D80">
        <f>COUNTIFS(fin_table[Branch Code],B80,fin_table[[loan Default ]], "Default")</f>
        <v>1</v>
      </c>
      <c r="K80" t="str">
        <v>BR736</v>
      </c>
      <c r="L80">
        <f>COUNTIFS(fin_table[Branch Code],K80,fin_table[Risk Level],"High-Risk")</f>
        <v>0</v>
      </c>
    </row>
    <row r="81" spans="2:12" x14ac:dyDescent="0.35">
      <c r="B81" t="s">
        <v>328</v>
      </c>
      <c r="C81">
        <f>COUNTIFS(fin_table[Branch Code],B81,fin_table[[loan Default ]], "Default")</f>
        <v>1</v>
      </c>
      <c r="D81">
        <f>COUNTIFS(fin_table[Branch Code],B81,fin_table[[loan Default ]], "Default")</f>
        <v>1</v>
      </c>
      <c r="K81" t="str">
        <v>BR493</v>
      </c>
      <c r="L81">
        <f>COUNTIFS(fin_table[Branch Code],K81,fin_table[Risk Level],"High-Risk")</f>
        <v>0</v>
      </c>
    </row>
    <row r="82" spans="2:12" x14ac:dyDescent="0.35">
      <c r="B82" t="s">
        <v>332</v>
      </c>
      <c r="C82">
        <f>COUNTIFS(fin_table[Branch Code],B82,fin_table[[loan Default ]], "Default")</f>
        <v>0</v>
      </c>
      <c r="D82">
        <f>COUNTIFS(fin_table[Branch Code],B82,fin_table[[loan Default ]], "Default")</f>
        <v>0</v>
      </c>
      <c r="K82" t="str">
        <v>BR932</v>
      </c>
      <c r="L82">
        <f>COUNTIFS(fin_table[Branch Code],K82,fin_table[Risk Level],"High-Risk")</f>
        <v>0</v>
      </c>
    </row>
    <row r="83" spans="2:12" x14ac:dyDescent="0.35">
      <c r="B83" t="s">
        <v>336</v>
      </c>
      <c r="C83">
        <f>COUNTIFS(fin_table[Branch Code],B83,fin_table[[loan Default ]], "Default")</f>
        <v>1</v>
      </c>
      <c r="D83">
        <f>COUNTIFS(fin_table[Branch Code],B83,fin_table[[loan Default ]], "Default")</f>
        <v>1</v>
      </c>
      <c r="K83" t="str">
        <v>BR141</v>
      </c>
      <c r="L83">
        <f>COUNTIFS(fin_table[Branch Code],K83,fin_table[Risk Level],"High-Risk")</f>
        <v>0</v>
      </c>
    </row>
    <row r="84" spans="2:12" x14ac:dyDescent="0.35">
      <c r="B84" t="s">
        <v>340</v>
      </c>
      <c r="C84">
        <f>COUNTIFS(fin_table[Branch Code],B84,fin_table[[loan Default ]], "Default")</f>
        <v>1</v>
      </c>
      <c r="D84">
        <f>COUNTIFS(fin_table[Branch Code],B84,fin_table[[loan Default ]], "Default")</f>
        <v>1</v>
      </c>
      <c r="K84" t="str">
        <v>BR696</v>
      </c>
      <c r="L84">
        <f>COUNTIFS(fin_table[Branch Code],K84,fin_table[Risk Level],"High-Risk")</f>
        <v>0</v>
      </c>
    </row>
    <row r="85" spans="2:12" x14ac:dyDescent="0.35">
      <c r="B85" t="s">
        <v>344</v>
      </c>
      <c r="C85">
        <f>COUNTIFS(fin_table[Branch Code],B85,fin_table[[loan Default ]], "Default")</f>
        <v>1</v>
      </c>
      <c r="D85">
        <f>COUNTIFS(fin_table[Branch Code],B85,fin_table[[loan Default ]], "Default")</f>
        <v>1</v>
      </c>
      <c r="K85" t="str">
        <v>BR492</v>
      </c>
      <c r="L85">
        <f>COUNTIFS(fin_table[Branch Code],K85,fin_table[Risk Level],"High-Risk")</f>
        <v>0</v>
      </c>
    </row>
    <row r="86" spans="2:12" x14ac:dyDescent="0.35">
      <c r="B86" t="s">
        <v>351</v>
      </c>
      <c r="C86">
        <f>COUNTIFS(fin_table[Branch Code],B86,fin_table[[loan Default ]], "Default")</f>
        <v>2</v>
      </c>
      <c r="D86">
        <f>COUNTIFS(fin_table[Branch Code],B86,fin_table[[loan Default ]], "Default")</f>
        <v>2</v>
      </c>
      <c r="K86" t="str">
        <v>BR722</v>
      </c>
      <c r="L86">
        <f>COUNTIFS(fin_table[Branch Code],K86,fin_table[Risk Level],"High-Risk")</f>
        <v>0</v>
      </c>
    </row>
    <row r="87" spans="2:12" x14ac:dyDescent="0.35">
      <c r="B87" t="s">
        <v>355</v>
      </c>
      <c r="C87">
        <f>COUNTIFS(fin_table[Branch Code],B87,fin_table[[loan Default ]], "Default")</f>
        <v>3</v>
      </c>
      <c r="D87">
        <f>COUNTIFS(fin_table[Branch Code],B87,fin_table[[loan Default ]], "Default")</f>
        <v>3</v>
      </c>
      <c r="K87" t="str">
        <v>BR882</v>
      </c>
      <c r="L87">
        <f>COUNTIFS(fin_table[Branch Code],K87,fin_table[Risk Level],"High-Risk")</f>
        <v>1</v>
      </c>
    </row>
    <row r="88" spans="2:12" x14ac:dyDescent="0.35">
      <c r="B88" t="s">
        <v>359</v>
      </c>
      <c r="C88">
        <f>COUNTIFS(fin_table[Branch Code],B88,fin_table[[loan Default ]], "Default")</f>
        <v>1</v>
      </c>
      <c r="D88">
        <f>COUNTIFS(fin_table[Branch Code],B88,fin_table[[loan Default ]], "Default")</f>
        <v>1</v>
      </c>
      <c r="K88" t="str">
        <v>BR540</v>
      </c>
      <c r="L88">
        <f>COUNTIFS(fin_table[Branch Code],K88,fin_table[Risk Level],"High-Risk")</f>
        <v>0</v>
      </c>
    </row>
    <row r="89" spans="2:12" x14ac:dyDescent="0.35">
      <c r="B89" t="s">
        <v>363</v>
      </c>
      <c r="C89">
        <f>COUNTIFS(fin_table[Branch Code],B89,fin_table[[loan Default ]], "Default")</f>
        <v>2</v>
      </c>
      <c r="D89">
        <f>COUNTIFS(fin_table[Branch Code],B89,fin_table[[loan Default ]], "Default")</f>
        <v>2</v>
      </c>
      <c r="K89" t="str">
        <v>BR936</v>
      </c>
      <c r="L89">
        <f>COUNTIFS(fin_table[Branch Code],K89,fin_table[Risk Level],"High-Risk")</f>
        <v>0</v>
      </c>
    </row>
    <row r="90" spans="2:12" x14ac:dyDescent="0.35">
      <c r="B90" t="s">
        <v>367</v>
      </c>
      <c r="C90">
        <f>COUNTIFS(fin_table[Branch Code],B90,fin_table[[loan Default ]], "Default")</f>
        <v>1</v>
      </c>
      <c r="D90">
        <f>COUNTIFS(fin_table[Branch Code],B90,fin_table[[loan Default ]], "Default")</f>
        <v>1</v>
      </c>
      <c r="K90" t="str">
        <v>BR716</v>
      </c>
      <c r="L90">
        <f>COUNTIFS(fin_table[Branch Code],K90,fin_table[Risk Level],"High-Risk")</f>
        <v>0</v>
      </c>
    </row>
    <row r="91" spans="2:12" x14ac:dyDescent="0.35">
      <c r="B91" t="s">
        <v>371</v>
      </c>
      <c r="C91">
        <f>COUNTIFS(fin_table[Branch Code],B91,fin_table[[loan Default ]], "Default")</f>
        <v>0</v>
      </c>
      <c r="D91">
        <f>COUNTIFS(fin_table[Branch Code],B91,fin_table[[loan Default ]], "Default")</f>
        <v>0</v>
      </c>
      <c r="K91" t="str">
        <v>BR605</v>
      </c>
      <c r="L91">
        <f>COUNTIFS(fin_table[Branch Code],K91,fin_table[Risk Level],"High-Risk")</f>
        <v>0</v>
      </c>
    </row>
    <row r="92" spans="2:12" x14ac:dyDescent="0.35">
      <c r="B92" t="s">
        <v>375</v>
      </c>
      <c r="C92">
        <f>COUNTIFS(fin_table[Branch Code],B92,fin_table[[loan Default ]], "Default")</f>
        <v>0</v>
      </c>
      <c r="D92">
        <f>COUNTIFS(fin_table[Branch Code],B92,fin_table[[loan Default ]], "Default")</f>
        <v>0</v>
      </c>
      <c r="K92" t="str">
        <v>BR419</v>
      </c>
      <c r="L92">
        <f>COUNTIFS(fin_table[Branch Code],K92,fin_table[Risk Level],"High-Risk")</f>
        <v>1</v>
      </c>
    </row>
    <row r="93" spans="2:12" x14ac:dyDescent="0.35">
      <c r="B93" t="s">
        <v>379</v>
      </c>
      <c r="C93">
        <f>COUNTIFS(fin_table[Branch Code],B93,fin_table[[loan Default ]], "Default")</f>
        <v>0</v>
      </c>
      <c r="D93">
        <f>COUNTIFS(fin_table[Branch Code],B93,fin_table[[loan Default ]], "Default")</f>
        <v>0</v>
      </c>
      <c r="K93" t="str">
        <v>BR652</v>
      </c>
      <c r="L93">
        <f>COUNTIFS(fin_table[Branch Code],K93,fin_table[Risk Level],"High-Risk")</f>
        <v>0</v>
      </c>
    </row>
    <row r="94" spans="2:12" x14ac:dyDescent="0.35">
      <c r="B94" t="s">
        <v>383</v>
      </c>
      <c r="C94">
        <f>COUNTIFS(fin_table[Branch Code],B94,fin_table[[loan Default ]], "Default")</f>
        <v>1</v>
      </c>
      <c r="D94">
        <f>COUNTIFS(fin_table[Branch Code],B94,fin_table[[loan Default ]], "Default")</f>
        <v>1</v>
      </c>
      <c r="K94" t="str">
        <v>BR314</v>
      </c>
      <c r="L94">
        <f>COUNTIFS(fin_table[Branch Code],K94,fin_table[Risk Level],"High-Risk")</f>
        <v>0</v>
      </c>
    </row>
    <row r="95" spans="2:12" x14ac:dyDescent="0.35">
      <c r="B95" t="s">
        <v>387</v>
      </c>
      <c r="C95">
        <f>COUNTIFS(fin_table[Branch Code],B95,fin_table[[loan Default ]], "Default")</f>
        <v>0</v>
      </c>
      <c r="D95">
        <f>COUNTIFS(fin_table[Branch Code],B95,fin_table[[loan Default ]], "Default")</f>
        <v>0</v>
      </c>
      <c r="K95" t="str">
        <v>BR170</v>
      </c>
      <c r="L95">
        <f>COUNTIFS(fin_table[Branch Code],K95,fin_table[Risk Level],"High-Risk")</f>
        <v>0</v>
      </c>
    </row>
    <row r="96" spans="2:12" x14ac:dyDescent="0.35">
      <c r="B96" t="s">
        <v>391</v>
      </c>
      <c r="C96">
        <f>COUNTIFS(fin_table[Branch Code],B96,fin_table[[loan Default ]], "Default")</f>
        <v>1</v>
      </c>
      <c r="D96">
        <f>COUNTIFS(fin_table[Branch Code],B96,fin_table[[loan Default ]], "Default")</f>
        <v>1</v>
      </c>
      <c r="K96" t="str">
        <v>BR667</v>
      </c>
      <c r="L96">
        <f>COUNTIFS(fin_table[Branch Code],K96,fin_table[Risk Level],"High-Risk")</f>
        <v>1</v>
      </c>
    </row>
    <row r="97" spans="2:12" x14ac:dyDescent="0.35">
      <c r="B97" t="s">
        <v>395</v>
      </c>
      <c r="C97">
        <f>COUNTIFS(fin_table[Branch Code],B97,fin_table[[loan Default ]], "Default")</f>
        <v>0</v>
      </c>
      <c r="D97">
        <f>COUNTIFS(fin_table[Branch Code],B97,fin_table[[loan Default ]], "Default")</f>
        <v>0</v>
      </c>
      <c r="K97" t="str">
        <v>BR335</v>
      </c>
      <c r="L97">
        <f>COUNTIFS(fin_table[Branch Code],K97,fin_table[Risk Level],"High-Risk")</f>
        <v>0</v>
      </c>
    </row>
    <row r="98" spans="2:12" x14ac:dyDescent="0.35">
      <c r="B98" t="s">
        <v>399</v>
      </c>
      <c r="C98">
        <f>COUNTIFS(fin_table[Branch Code],B98,fin_table[[loan Default ]], "Default")</f>
        <v>2</v>
      </c>
      <c r="D98">
        <f>COUNTIFS(fin_table[Branch Code],B98,fin_table[[loan Default ]], "Default")</f>
        <v>2</v>
      </c>
      <c r="K98" t="str">
        <v>BR380</v>
      </c>
      <c r="L98">
        <f>COUNTIFS(fin_table[Branch Code],K98,fin_table[Risk Level],"High-Risk")</f>
        <v>0</v>
      </c>
    </row>
    <row r="99" spans="2:12" x14ac:dyDescent="0.35">
      <c r="B99" t="s">
        <v>406</v>
      </c>
      <c r="C99">
        <f>COUNTIFS(fin_table[Branch Code],B99,fin_table[[loan Default ]], "Default")</f>
        <v>2</v>
      </c>
      <c r="D99">
        <f>COUNTIFS(fin_table[Branch Code],B99,fin_table[[loan Default ]], "Default")</f>
        <v>2</v>
      </c>
      <c r="K99" t="str">
        <v>BR986</v>
      </c>
      <c r="L99">
        <f>COUNTIFS(fin_table[Branch Code],K99,fin_table[Risk Level],"High-Risk")</f>
        <v>0</v>
      </c>
    </row>
    <row r="100" spans="2:12" x14ac:dyDescent="0.35">
      <c r="B100" t="s">
        <v>410</v>
      </c>
      <c r="C100">
        <f>COUNTIFS(fin_table[Branch Code],B100,fin_table[[loan Default ]], "Default")</f>
        <v>0</v>
      </c>
      <c r="D100">
        <f>COUNTIFS(fin_table[Branch Code],B100,fin_table[[loan Default ]], "Default")</f>
        <v>0</v>
      </c>
      <c r="K100" t="str">
        <v>BR261</v>
      </c>
      <c r="L100">
        <f>COUNTIFS(fin_table[Branch Code],K100,fin_table[Risk Level],"High-Risk")</f>
        <v>0</v>
      </c>
    </row>
    <row r="101" spans="2:12" x14ac:dyDescent="0.35">
      <c r="B101" t="s">
        <v>414</v>
      </c>
      <c r="C101">
        <f>COUNTIFS(fin_table[Branch Code],B101,fin_table[[loan Default ]], "Default")</f>
        <v>0</v>
      </c>
      <c r="D101">
        <f>COUNTIFS(fin_table[Branch Code],B101,fin_table[[loan Default ]], "Default")</f>
        <v>0</v>
      </c>
      <c r="K101" t="str">
        <v>BR290</v>
      </c>
      <c r="L101">
        <f>COUNTIFS(fin_table[Branch Code],K101,fin_table[Risk Level],"High-Risk")</f>
        <v>1</v>
      </c>
    </row>
    <row r="102" spans="2:12" x14ac:dyDescent="0.35">
      <c r="B102" t="s">
        <v>418</v>
      </c>
      <c r="C102">
        <f>COUNTIFS(fin_table[Branch Code],B102,fin_table[[loan Default ]], "Default")</f>
        <v>2</v>
      </c>
      <c r="D102">
        <f>COUNTIFS(fin_table[Branch Code],B102,fin_table[[loan Default ]], "Default")</f>
        <v>2</v>
      </c>
      <c r="K102" t="str">
        <v>BR108</v>
      </c>
      <c r="L102">
        <f>COUNTIFS(fin_table[Branch Code],K102,fin_table[Risk Level],"High-Risk")</f>
        <v>0</v>
      </c>
    </row>
    <row r="103" spans="2:12" x14ac:dyDescent="0.35">
      <c r="B103" t="s">
        <v>422</v>
      </c>
      <c r="C103">
        <f>COUNTIFS(fin_table[Branch Code],B103,fin_table[[loan Default ]], "Default")</f>
        <v>1</v>
      </c>
      <c r="D103">
        <f>COUNTIFS(fin_table[Branch Code],B103,fin_table[[loan Default ]], "Default")</f>
        <v>1</v>
      </c>
      <c r="K103" t="str">
        <v>BR159</v>
      </c>
      <c r="L103">
        <f>COUNTIFS(fin_table[Branch Code],K103,fin_table[Risk Level],"High-Risk")</f>
        <v>0</v>
      </c>
    </row>
    <row r="104" spans="2:12" x14ac:dyDescent="0.35">
      <c r="B104" t="s">
        <v>426</v>
      </c>
      <c r="C104">
        <f>COUNTIFS(fin_table[Branch Code],B104,fin_table[[loan Default ]], "Default")</f>
        <v>1</v>
      </c>
      <c r="D104">
        <f>COUNTIFS(fin_table[Branch Code],B104,fin_table[[loan Default ]], "Default")</f>
        <v>1</v>
      </c>
      <c r="K104" t="str">
        <v>BR992</v>
      </c>
      <c r="L104">
        <f>COUNTIFS(fin_table[Branch Code],K104,fin_table[Risk Level],"High-Risk")</f>
        <v>0</v>
      </c>
    </row>
    <row r="105" spans="2:12" x14ac:dyDescent="0.35">
      <c r="B105" t="s">
        <v>430</v>
      </c>
      <c r="C105">
        <f>COUNTIFS(fin_table[Branch Code],B105,fin_table[[loan Default ]], "Default")</f>
        <v>0</v>
      </c>
      <c r="D105">
        <f>COUNTIFS(fin_table[Branch Code],B105,fin_table[[loan Default ]], "Default")</f>
        <v>0</v>
      </c>
      <c r="K105" t="str">
        <v>BR916</v>
      </c>
      <c r="L105">
        <f>COUNTIFS(fin_table[Branch Code],K105,fin_table[Risk Level],"High-Risk")</f>
        <v>0</v>
      </c>
    </row>
    <row r="106" spans="2:12" x14ac:dyDescent="0.35">
      <c r="B106" t="s">
        <v>434</v>
      </c>
      <c r="C106">
        <f>COUNTIFS(fin_table[Branch Code],B106,fin_table[[loan Default ]], "Default")</f>
        <v>0</v>
      </c>
      <c r="D106">
        <f>COUNTIFS(fin_table[Branch Code],B106,fin_table[[loan Default ]], "Default")</f>
        <v>0</v>
      </c>
      <c r="K106" t="str">
        <v>BR324</v>
      </c>
      <c r="L106">
        <f>COUNTIFS(fin_table[Branch Code],K106,fin_table[Risk Level],"High-Risk")</f>
        <v>1</v>
      </c>
    </row>
    <row r="107" spans="2:12" x14ac:dyDescent="0.35">
      <c r="B107" t="s">
        <v>438</v>
      </c>
      <c r="C107">
        <f>COUNTIFS(fin_table[Branch Code],B107,fin_table[[loan Default ]], "Default")</f>
        <v>2</v>
      </c>
      <c r="D107">
        <f>COUNTIFS(fin_table[Branch Code],B107,fin_table[[loan Default ]], "Default")</f>
        <v>2</v>
      </c>
      <c r="K107" t="str">
        <v>BR918</v>
      </c>
      <c r="L107">
        <f>COUNTIFS(fin_table[Branch Code],K107,fin_table[Risk Level],"High-Risk")</f>
        <v>0</v>
      </c>
    </row>
    <row r="108" spans="2:12" x14ac:dyDescent="0.35">
      <c r="B108" t="s">
        <v>445</v>
      </c>
      <c r="C108">
        <f>COUNTIFS(fin_table[Branch Code],B108,fin_table[[loan Default ]], "Default")</f>
        <v>1</v>
      </c>
      <c r="D108">
        <f>COUNTIFS(fin_table[Branch Code],B108,fin_table[[loan Default ]], "Default")</f>
        <v>1</v>
      </c>
      <c r="K108" t="str">
        <v>BR681</v>
      </c>
      <c r="L108">
        <f>COUNTIFS(fin_table[Branch Code],K108,fin_table[Risk Level],"High-Risk")</f>
        <v>1</v>
      </c>
    </row>
    <row r="109" spans="2:12" x14ac:dyDescent="0.35">
      <c r="B109" t="s">
        <v>449</v>
      </c>
      <c r="C109">
        <f>COUNTIFS(fin_table[Branch Code],B109,fin_table[[loan Default ]], "Default")</f>
        <v>0</v>
      </c>
      <c r="D109">
        <f>COUNTIFS(fin_table[Branch Code],B109,fin_table[[loan Default ]], "Default")</f>
        <v>0</v>
      </c>
      <c r="K109" t="str">
        <v>BR904</v>
      </c>
      <c r="L109">
        <f>COUNTIFS(fin_table[Branch Code],K109,fin_table[Risk Level],"High-Risk")</f>
        <v>0</v>
      </c>
    </row>
    <row r="110" spans="2:12" x14ac:dyDescent="0.35">
      <c r="B110" t="s">
        <v>453</v>
      </c>
      <c r="C110">
        <f>COUNTIFS(fin_table[Branch Code],B110,fin_table[[loan Default ]], "Default")</f>
        <v>0</v>
      </c>
      <c r="D110">
        <f>COUNTIFS(fin_table[Branch Code],B110,fin_table[[loan Default ]], "Default")</f>
        <v>0</v>
      </c>
      <c r="K110" t="str">
        <v>BR386</v>
      </c>
      <c r="L110">
        <f>COUNTIFS(fin_table[Branch Code],K110,fin_table[Risk Level],"High-Risk")</f>
        <v>0</v>
      </c>
    </row>
    <row r="111" spans="2:12" x14ac:dyDescent="0.35">
      <c r="B111" t="s">
        <v>457</v>
      </c>
      <c r="C111">
        <f>COUNTIFS(fin_table[Branch Code],B111,fin_table[[loan Default ]], "Default")</f>
        <v>0</v>
      </c>
      <c r="D111">
        <f>COUNTIFS(fin_table[Branch Code],B111,fin_table[[loan Default ]], "Default")</f>
        <v>0</v>
      </c>
      <c r="K111" t="str">
        <v>BR268</v>
      </c>
      <c r="L111">
        <f>COUNTIFS(fin_table[Branch Code],K111,fin_table[Risk Level],"High-Risk")</f>
        <v>1</v>
      </c>
    </row>
    <row r="112" spans="2:12" x14ac:dyDescent="0.35">
      <c r="B112" t="s">
        <v>461</v>
      </c>
      <c r="C112">
        <f>COUNTIFS(fin_table[Branch Code],B112,fin_table[[loan Default ]], "Default")</f>
        <v>1</v>
      </c>
      <c r="D112">
        <f>COUNTIFS(fin_table[Branch Code],B112,fin_table[[loan Default ]], "Default")</f>
        <v>1</v>
      </c>
      <c r="K112" t="str">
        <v>BR161</v>
      </c>
      <c r="L112">
        <f>COUNTIFS(fin_table[Branch Code],K112,fin_table[Risk Level],"High-Risk")</f>
        <v>0</v>
      </c>
    </row>
    <row r="113" spans="2:12" x14ac:dyDescent="0.35">
      <c r="B113" t="s">
        <v>465</v>
      </c>
      <c r="C113">
        <f>COUNTIFS(fin_table[Branch Code],B113,fin_table[[loan Default ]], "Default")</f>
        <v>0</v>
      </c>
      <c r="D113">
        <f>COUNTIFS(fin_table[Branch Code],B113,fin_table[[loan Default ]], "Default")</f>
        <v>0</v>
      </c>
      <c r="K113" t="str">
        <v>BR448</v>
      </c>
      <c r="L113">
        <f>COUNTIFS(fin_table[Branch Code],K113,fin_table[Risk Level],"High-Risk")</f>
        <v>0</v>
      </c>
    </row>
    <row r="114" spans="2:12" x14ac:dyDescent="0.35">
      <c r="B114" t="s">
        <v>469</v>
      </c>
      <c r="C114">
        <f>COUNTIFS(fin_table[Branch Code],B114,fin_table[[loan Default ]], "Default")</f>
        <v>0</v>
      </c>
      <c r="D114">
        <f>COUNTIFS(fin_table[Branch Code],B114,fin_table[[loan Default ]], "Default")</f>
        <v>0</v>
      </c>
      <c r="K114" t="str">
        <v>BR541</v>
      </c>
      <c r="L114">
        <f>COUNTIFS(fin_table[Branch Code],K114,fin_table[Risk Level],"High-Risk")</f>
        <v>0</v>
      </c>
    </row>
    <row r="115" spans="2:12" x14ac:dyDescent="0.35">
      <c r="B115" t="s">
        <v>473</v>
      </c>
      <c r="C115">
        <f>COUNTIFS(fin_table[Branch Code],B115,fin_table[[loan Default ]], "Default")</f>
        <v>0</v>
      </c>
      <c r="D115">
        <f>COUNTIFS(fin_table[Branch Code],B115,fin_table[[loan Default ]], "Default")</f>
        <v>0</v>
      </c>
      <c r="K115" t="str">
        <v>BR113</v>
      </c>
      <c r="L115">
        <f>COUNTIFS(fin_table[Branch Code],K115,fin_table[Risk Level],"High-Risk")</f>
        <v>0</v>
      </c>
    </row>
    <row r="116" spans="2:12" x14ac:dyDescent="0.35">
      <c r="B116" t="s">
        <v>477</v>
      </c>
      <c r="C116">
        <f>COUNTIFS(fin_table[Branch Code],B116,fin_table[[loan Default ]], "Default")</f>
        <v>0</v>
      </c>
      <c r="D116">
        <f>COUNTIFS(fin_table[Branch Code],B116,fin_table[[loan Default ]], "Default")</f>
        <v>0</v>
      </c>
      <c r="K116" t="str">
        <v>BR263</v>
      </c>
      <c r="L116">
        <f>COUNTIFS(fin_table[Branch Code],K116,fin_table[Risk Level],"High-Risk")</f>
        <v>0</v>
      </c>
    </row>
    <row r="117" spans="2:12" x14ac:dyDescent="0.35">
      <c r="B117" t="s">
        <v>481</v>
      </c>
      <c r="C117">
        <f>COUNTIFS(fin_table[Branch Code],B117,fin_table[[loan Default ]], "Default")</f>
        <v>1</v>
      </c>
      <c r="D117">
        <f>COUNTIFS(fin_table[Branch Code],B117,fin_table[[loan Default ]], "Default")</f>
        <v>1</v>
      </c>
      <c r="K117" t="str">
        <v>BR519</v>
      </c>
      <c r="L117">
        <f>COUNTIFS(fin_table[Branch Code],K117,fin_table[Risk Level],"High-Risk")</f>
        <v>0</v>
      </c>
    </row>
    <row r="118" spans="2:12" x14ac:dyDescent="0.35">
      <c r="B118" t="s">
        <v>485</v>
      </c>
      <c r="C118">
        <f>COUNTIFS(fin_table[Branch Code],B118,fin_table[[loan Default ]], "Default")</f>
        <v>1</v>
      </c>
      <c r="D118">
        <f>COUNTIFS(fin_table[Branch Code],B118,fin_table[[loan Default ]], "Default")</f>
        <v>1</v>
      </c>
      <c r="K118" t="str">
        <v>BR856</v>
      </c>
      <c r="L118">
        <f>COUNTIFS(fin_table[Branch Code],K118,fin_table[Risk Level],"High-Risk")</f>
        <v>0</v>
      </c>
    </row>
    <row r="119" spans="2:12" x14ac:dyDescent="0.35">
      <c r="B119" t="s">
        <v>489</v>
      </c>
      <c r="C119">
        <f>COUNTIFS(fin_table[Branch Code],B119,fin_table[[loan Default ]], "Default")</f>
        <v>0</v>
      </c>
      <c r="D119">
        <f>COUNTIFS(fin_table[Branch Code],B119,fin_table[[loan Default ]], "Default")</f>
        <v>0</v>
      </c>
      <c r="K119" t="str">
        <v>BR946</v>
      </c>
      <c r="L119">
        <f>COUNTIFS(fin_table[Branch Code],K119,fin_table[Risk Level],"High-Risk")</f>
        <v>0</v>
      </c>
    </row>
    <row r="120" spans="2:12" x14ac:dyDescent="0.35">
      <c r="B120" t="s">
        <v>493</v>
      </c>
      <c r="C120">
        <f>COUNTIFS(fin_table[Branch Code],B120,fin_table[[loan Default ]], "Default")</f>
        <v>0</v>
      </c>
      <c r="D120">
        <f>COUNTIFS(fin_table[Branch Code],B120,fin_table[[loan Default ]], "Default")</f>
        <v>0</v>
      </c>
      <c r="K120" t="str">
        <v>BR619</v>
      </c>
      <c r="L120">
        <f>COUNTIFS(fin_table[Branch Code],K120,fin_table[Risk Level],"High-Risk")</f>
        <v>1</v>
      </c>
    </row>
    <row r="121" spans="2:12" x14ac:dyDescent="0.35">
      <c r="B121" t="s">
        <v>497</v>
      </c>
      <c r="C121">
        <f>COUNTIFS(fin_table[Branch Code],B121,fin_table[[loan Default ]], "Default")</f>
        <v>0</v>
      </c>
      <c r="D121">
        <f>COUNTIFS(fin_table[Branch Code],B121,fin_table[[loan Default ]], "Default")</f>
        <v>0</v>
      </c>
      <c r="K121" t="str">
        <v>BR765</v>
      </c>
      <c r="L121">
        <f>COUNTIFS(fin_table[Branch Code],K121,fin_table[Risk Level],"High-Risk")</f>
        <v>0</v>
      </c>
    </row>
    <row r="122" spans="2:12" x14ac:dyDescent="0.35">
      <c r="B122" t="s">
        <v>501</v>
      </c>
      <c r="C122">
        <f>COUNTIFS(fin_table[Branch Code],B122,fin_table[[loan Default ]], "Default")</f>
        <v>0</v>
      </c>
      <c r="D122">
        <f>COUNTIFS(fin_table[Branch Code],B122,fin_table[[loan Default ]], "Default")</f>
        <v>0</v>
      </c>
      <c r="K122" t="str">
        <v>BR647</v>
      </c>
      <c r="L122">
        <f>COUNTIFS(fin_table[Branch Code],K122,fin_table[Risk Level],"High-Risk")</f>
        <v>0</v>
      </c>
    </row>
    <row r="123" spans="2:12" x14ac:dyDescent="0.35">
      <c r="B123" t="s">
        <v>505</v>
      </c>
      <c r="C123">
        <f>COUNTIFS(fin_table[Branch Code],B123,fin_table[[loan Default ]], "Default")</f>
        <v>3</v>
      </c>
      <c r="D123">
        <f>COUNTIFS(fin_table[Branch Code],B123,fin_table[[loan Default ]], "Default")</f>
        <v>3</v>
      </c>
      <c r="K123" t="str">
        <v>BR659</v>
      </c>
      <c r="L123">
        <f>COUNTIFS(fin_table[Branch Code],K123,fin_table[Risk Level],"High-Risk")</f>
        <v>1</v>
      </c>
    </row>
    <row r="124" spans="2:12" x14ac:dyDescent="0.35">
      <c r="B124" t="s">
        <v>512</v>
      </c>
      <c r="C124">
        <f>COUNTIFS(fin_table[Branch Code],B124,fin_table[[loan Default ]], "Default")</f>
        <v>2</v>
      </c>
      <c r="D124">
        <f>COUNTIFS(fin_table[Branch Code],B124,fin_table[[loan Default ]], "Default")</f>
        <v>2</v>
      </c>
      <c r="K124" t="str">
        <v>BR127</v>
      </c>
      <c r="L124">
        <f>COUNTIFS(fin_table[Branch Code],K124,fin_table[Risk Level],"High-Risk")</f>
        <v>0</v>
      </c>
    </row>
    <row r="125" spans="2:12" x14ac:dyDescent="0.35">
      <c r="B125" t="s">
        <v>516</v>
      </c>
      <c r="C125">
        <f>COUNTIFS(fin_table[Branch Code],B125,fin_table[[loan Default ]], "Default")</f>
        <v>0</v>
      </c>
      <c r="D125">
        <f>COUNTIFS(fin_table[Branch Code],B125,fin_table[[loan Default ]], "Default")</f>
        <v>0</v>
      </c>
      <c r="K125" t="str">
        <v>BR807</v>
      </c>
      <c r="L125">
        <f>COUNTIFS(fin_table[Branch Code],K125,fin_table[Risk Level],"High-Risk")</f>
        <v>0</v>
      </c>
    </row>
    <row r="126" spans="2:12" x14ac:dyDescent="0.35">
      <c r="B126" t="s">
        <v>520</v>
      </c>
      <c r="C126">
        <f>COUNTIFS(fin_table[Branch Code],B126,fin_table[[loan Default ]], "Default")</f>
        <v>1</v>
      </c>
      <c r="D126">
        <f>COUNTIFS(fin_table[Branch Code],B126,fin_table[[loan Default ]], "Default")</f>
        <v>1</v>
      </c>
      <c r="K126" t="str">
        <v>BR545</v>
      </c>
      <c r="L126">
        <f>COUNTIFS(fin_table[Branch Code],K126,fin_table[Risk Level],"High-Risk")</f>
        <v>0</v>
      </c>
    </row>
    <row r="127" spans="2:12" x14ac:dyDescent="0.35">
      <c r="B127" t="s">
        <v>524</v>
      </c>
      <c r="C127">
        <f>COUNTIFS(fin_table[Branch Code],B127,fin_table[[loan Default ]], "Default")</f>
        <v>1</v>
      </c>
      <c r="D127">
        <f>COUNTIFS(fin_table[Branch Code],B127,fin_table[[loan Default ]], "Default")</f>
        <v>1</v>
      </c>
      <c r="K127" t="str">
        <v>BR307</v>
      </c>
      <c r="L127">
        <f>COUNTIFS(fin_table[Branch Code],K127,fin_table[Risk Level],"High-Risk")</f>
        <v>0</v>
      </c>
    </row>
    <row r="128" spans="2:12" x14ac:dyDescent="0.35">
      <c r="B128" t="s">
        <v>528</v>
      </c>
      <c r="C128">
        <f>COUNTIFS(fin_table[Branch Code],B128,fin_table[[loan Default ]], "Default")</f>
        <v>0</v>
      </c>
      <c r="D128">
        <f>COUNTIFS(fin_table[Branch Code],B128,fin_table[[loan Default ]], "Default")</f>
        <v>0</v>
      </c>
      <c r="K128" t="str">
        <v>BR569</v>
      </c>
      <c r="L128">
        <f>COUNTIFS(fin_table[Branch Code],K128,fin_table[Risk Level],"High-Risk")</f>
        <v>0</v>
      </c>
    </row>
    <row r="129" spans="2:12" x14ac:dyDescent="0.35">
      <c r="B129" t="s">
        <v>538</v>
      </c>
      <c r="C129">
        <f>COUNTIFS(fin_table[Branch Code],B129,fin_table[[loan Default ]], "Default")</f>
        <v>3</v>
      </c>
      <c r="D129">
        <f>COUNTIFS(fin_table[Branch Code],B129,fin_table[[loan Default ]], "Default")</f>
        <v>3</v>
      </c>
      <c r="K129" t="str">
        <v>BR203</v>
      </c>
      <c r="L129">
        <f>COUNTIFS(fin_table[Branch Code],K129,fin_table[Risk Level],"High-Risk")</f>
        <v>1</v>
      </c>
    </row>
    <row r="130" spans="2:12" x14ac:dyDescent="0.35">
      <c r="B130" t="s">
        <v>542</v>
      </c>
      <c r="C130">
        <f>COUNTIFS(fin_table[Branch Code],B130,fin_table[[loan Default ]], "Default")</f>
        <v>0</v>
      </c>
      <c r="D130">
        <f>COUNTIFS(fin_table[Branch Code],B130,fin_table[[loan Default ]], "Default")</f>
        <v>0</v>
      </c>
      <c r="K130" t="str">
        <v>BR841</v>
      </c>
      <c r="L130">
        <f>COUNTIFS(fin_table[Branch Code],K130,fin_table[Risk Level],"High-Risk")</f>
        <v>0</v>
      </c>
    </row>
    <row r="131" spans="2:12" x14ac:dyDescent="0.35">
      <c r="B131" t="s">
        <v>546</v>
      </c>
      <c r="C131">
        <f>COUNTIFS(fin_table[Branch Code],B131,fin_table[[loan Default ]], "Default")</f>
        <v>0</v>
      </c>
      <c r="D131">
        <f>COUNTIFS(fin_table[Branch Code],B131,fin_table[[loan Default ]], "Default")</f>
        <v>0</v>
      </c>
      <c r="K131" t="str">
        <v>BR525</v>
      </c>
      <c r="L131">
        <f>COUNTIFS(fin_table[Branch Code],K131,fin_table[Risk Level],"High-Risk")</f>
        <v>0</v>
      </c>
    </row>
    <row r="132" spans="2:12" x14ac:dyDescent="0.35">
      <c r="B132" t="s">
        <v>550</v>
      </c>
      <c r="C132">
        <f>COUNTIFS(fin_table[Branch Code],B132,fin_table[[loan Default ]], "Default")</f>
        <v>0</v>
      </c>
      <c r="D132">
        <f>COUNTIFS(fin_table[Branch Code],B132,fin_table[[loan Default ]], "Default")</f>
        <v>0</v>
      </c>
      <c r="K132" t="str">
        <v>BR200</v>
      </c>
      <c r="L132">
        <f>COUNTIFS(fin_table[Branch Code],K132,fin_table[Risk Level],"High-Risk")</f>
        <v>1</v>
      </c>
    </row>
    <row r="133" spans="2:12" x14ac:dyDescent="0.35">
      <c r="B133" t="s">
        <v>554</v>
      </c>
      <c r="C133">
        <f>COUNTIFS(fin_table[Branch Code],B133,fin_table[[loan Default ]], "Default")</f>
        <v>0</v>
      </c>
      <c r="D133">
        <f>COUNTIFS(fin_table[Branch Code],B133,fin_table[[loan Default ]], "Default")</f>
        <v>0</v>
      </c>
      <c r="K133" t="str">
        <v>BR640</v>
      </c>
      <c r="L133">
        <f>COUNTIFS(fin_table[Branch Code],K133,fin_table[Risk Level],"High-Risk")</f>
        <v>0</v>
      </c>
    </row>
    <row r="134" spans="2:12" x14ac:dyDescent="0.35">
      <c r="B134" t="s">
        <v>558</v>
      </c>
      <c r="C134">
        <f>COUNTIFS(fin_table[Branch Code],B134,fin_table[[loan Default ]], "Default")</f>
        <v>1</v>
      </c>
      <c r="D134">
        <f>COUNTIFS(fin_table[Branch Code],B134,fin_table[[loan Default ]], "Default")</f>
        <v>1</v>
      </c>
      <c r="K134" t="str">
        <v>BR738</v>
      </c>
      <c r="L134">
        <f>COUNTIFS(fin_table[Branch Code],K134,fin_table[Risk Level],"High-Risk")</f>
        <v>0</v>
      </c>
    </row>
    <row r="135" spans="2:12" x14ac:dyDescent="0.35">
      <c r="B135" t="s">
        <v>562</v>
      </c>
      <c r="C135">
        <f>COUNTIFS(fin_table[Branch Code],B135,fin_table[[loan Default ]], "Default")</f>
        <v>1</v>
      </c>
      <c r="D135">
        <f>COUNTIFS(fin_table[Branch Code],B135,fin_table[[loan Default ]], "Default")</f>
        <v>1</v>
      </c>
      <c r="K135" t="str">
        <v>BR949</v>
      </c>
      <c r="L135">
        <f>COUNTIFS(fin_table[Branch Code],K135,fin_table[Risk Level],"High-Risk")</f>
        <v>0</v>
      </c>
    </row>
    <row r="136" spans="2:12" x14ac:dyDescent="0.35">
      <c r="B136" t="s">
        <v>566</v>
      </c>
      <c r="C136">
        <f>COUNTIFS(fin_table[Branch Code],B136,fin_table[[loan Default ]], "Default")</f>
        <v>0</v>
      </c>
      <c r="D136">
        <f>COUNTIFS(fin_table[Branch Code],B136,fin_table[[loan Default ]], "Default")</f>
        <v>0</v>
      </c>
      <c r="K136" t="str">
        <v>BR621</v>
      </c>
      <c r="L136">
        <f>COUNTIFS(fin_table[Branch Code],K136,fin_table[Risk Level],"High-Risk")</f>
        <v>0</v>
      </c>
    </row>
    <row r="137" spans="2:12" x14ac:dyDescent="0.35">
      <c r="B137" t="s">
        <v>570</v>
      </c>
      <c r="C137">
        <f>COUNTIFS(fin_table[Branch Code],B137,fin_table[[loan Default ]], "Default")</f>
        <v>2</v>
      </c>
      <c r="D137">
        <f>COUNTIFS(fin_table[Branch Code],B137,fin_table[[loan Default ]], "Default")</f>
        <v>2</v>
      </c>
      <c r="K137" t="str">
        <v>BR205</v>
      </c>
      <c r="L137">
        <f>COUNTIFS(fin_table[Branch Code],K137,fin_table[Risk Level],"High-Risk")</f>
        <v>0</v>
      </c>
    </row>
    <row r="138" spans="2:12" x14ac:dyDescent="0.35">
      <c r="B138" t="s">
        <v>574</v>
      </c>
      <c r="C138">
        <f>COUNTIFS(fin_table[Branch Code],B138,fin_table[[loan Default ]], "Default")</f>
        <v>1</v>
      </c>
      <c r="D138">
        <f>COUNTIFS(fin_table[Branch Code],B138,fin_table[[loan Default ]], "Default")</f>
        <v>1</v>
      </c>
      <c r="K138" t="str">
        <v>BR778</v>
      </c>
      <c r="L138">
        <f>COUNTIFS(fin_table[Branch Code],K138,fin_table[Risk Level],"High-Risk")</f>
        <v>0</v>
      </c>
    </row>
    <row r="139" spans="2:12" x14ac:dyDescent="0.35">
      <c r="B139" t="s">
        <v>578</v>
      </c>
      <c r="C139">
        <f>COUNTIFS(fin_table[Branch Code],B139,fin_table[[loan Default ]], "Default")</f>
        <v>0</v>
      </c>
      <c r="D139">
        <f>COUNTIFS(fin_table[Branch Code],B139,fin_table[[loan Default ]], "Default")</f>
        <v>0</v>
      </c>
      <c r="K139" t="str">
        <v>BR868</v>
      </c>
      <c r="L139">
        <f>COUNTIFS(fin_table[Branch Code],K139,fin_table[Risk Level],"High-Risk")</f>
        <v>0</v>
      </c>
    </row>
    <row r="140" spans="2:12" x14ac:dyDescent="0.35">
      <c r="B140" t="s">
        <v>582</v>
      </c>
      <c r="C140">
        <f>COUNTIFS(fin_table[Branch Code],B140,fin_table[[loan Default ]], "Default")</f>
        <v>0</v>
      </c>
      <c r="D140">
        <f>COUNTIFS(fin_table[Branch Code],B140,fin_table[[loan Default ]], "Default")</f>
        <v>0</v>
      </c>
      <c r="K140" t="str">
        <v>BR906</v>
      </c>
      <c r="L140">
        <f>COUNTIFS(fin_table[Branch Code],K140,fin_table[Risk Level],"High-Risk")</f>
        <v>0</v>
      </c>
    </row>
    <row r="141" spans="2:12" x14ac:dyDescent="0.35">
      <c r="B141" t="s">
        <v>586</v>
      </c>
      <c r="C141">
        <f>COUNTIFS(fin_table[Branch Code],B141,fin_table[[loan Default ]], "Default")</f>
        <v>0</v>
      </c>
      <c r="D141">
        <f>COUNTIFS(fin_table[Branch Code],B141,fin_table[[loan Default ]], "Default")</f>
        <v>0</v>
      </c>
      <c r="K141" t="str">
        <v>BR376</v>
      </c>
      <c r="L141">
        <f>COUNTIFS(fin_table[Branch Code],K141,fin_table[Risk Level],"High-Risk")</f>
        <v>0</v>
      </c>
    </row>
    <row r="142" spans="2:12" x14ac:dyDescent="0.35">
      <c r="B142" t="s">
        <v>590</v>
      </c>
      <c r="C142">
        <f>COUNTIFS(fin_table[Branch Code],B142,fin_table[[loan Default ]], "Default")</f>
        <v>1</v>
      </c>
      <c r="D142">
        <f>COUNTIFS(fin_table[Branch Code],B142,fin_table[[loan Default ]], "Default")</f>
        <v>1</v>
      </c>
      <c r="K142" t="str">
        <v>BR164</v>
      </c>
      <c r="L142">
        <f>COUNTIFS(fin_table[Branch Code],K142,fin_table[Risk Level],"High-Risk")</f>
        <v>0</v>
      </c>
    </row>
    <row r="143" spans="2:12" x14ac:dyDescent="0.35">
      <c r="B143" t="s">
        <v>597</v>
      </c>
      <c r="C143">
        <f>COUNTIFS(fin_table[Branch Code],B143,fin_table[[loan Default ]], "Default")</f>
        <v>1</v>
      </c>
      <c r="D143">
        <f>COUNTIFS(fin_table[Branch Code],B143,fin_table[[loan Default ]], "Default")</f>
        <v>1</v>
      </c>
      <c r="K143" t="str">
        <v>BR287</v>
      </c>
      <c r="L143">
        <f>COUNTIFS(fin_table[Branch Code],K143,fin_table[Risk Level],"High-Risk")</f>
        <v>0</v>
      </c>
    </row>
    <row r="144" spans="2:12" x14ac:dyDescent="0.35">
      <c r="B144" t="s">
        <v>601</v>
      </c>
      <c r="C144">
        <f>COUNTIFS(fin_table[Branch Code],B144,fin_table[[loan Default ]], "Default")</f>
        <v>2</v>
      </c>
      <c r="D144">
        <f>COUNTIFS(fin_table[Branch Code],B144,fin_table[[loan Default ]], "Default")</f>
        <v>2</v>
      </c>
      <c r="K144" t="str">
        <v>BR416</v>
      </c>
      <c r="L144">
        <f>COUNTIFS(fin_table[Branch Code],K144,fin_table[Risk Level],"High-Risk")</f>
        <v>1</v>
      </c>
    </row>
    <row r="145" spans="2:12" x14ac:dyDescent="0.35">
      <c r="B145" t="s">
        <v>605</v>
      </c>
      <c r="C145">
        <f>COUNTIFS(fin_table[Branch Code],B145,fin_table[[loan Default ]], "Default")</f>
        <v>1</v>
      </c>
      <c r="D145">
        <f>COUNTIFS(fin_table[Branch Code],B145,fin_table[[loan Default ]], "Default")</f>
        <v>1</v>
      </c>
      <c r="K145" t="str">
        <v>BR237</v>
      </c>
      <c r="L145">
        <f>COUNTIFS(fin_table[Branch Code],K145,fin_table[Risk Level],"High-Risk")</f>
        <v>0</v>
      </c>
    </row>
    <row r="146" spans="2:12" x14ac:dyDescent="0.35">
      <c r="B146" t="s">
        <v>609</v>
      </c>
      <c r="C146">
        <f>COUNTIFS(fin_table[Branch Code],B146,fin_table[[loan Default ]], "Default")</f>
        <v>0</v>
      </c>
      <c r="D146">
        <f>COUNTIFS(fin_table[Branch Code],B146,fin_table[[loan Default ]], "Default")</f>
        <v>0</v>
      </c>
      <c r="K146" t="str">
        <v>BR442</v>
      </c>
      <c r="L146">
        <f>COUNTIFS(fin_table[Branch Code],K146,fin_table[Risk Level],"High-Risk")</f>
        <v>1</v>
      </c>
    </row>
    <row r="147" spans="2:12" x14ac:dyDescent="0.35">
      <c r="B147" t="s">
        <v>616</v>
      </c>
      <c r="C147">
        <f>COUNTIFS(fin_table[Branch Code],B147,fin_table[[loan Default ]], "Default")</f>
        <v>1</v>
      </c>
      <c r="D147">
        <f>COUNTIFS(fin_table[Branch Code],B147,fin_table[[loan Default ]], "Default")</f>
        <v>1</v>
      </c>
      <c r="K147" t="str">
        <v>BR645</v>
      </c>
      <c r="L147">
        <f>COUNTIFS(fin_table[Branch Code],K147,fin_table[Risk Level],"High-Risk")</f>
        <v>0</v>
      </c>
    </row>
    <row r="148" spans="2:12" x14ac:dyDescent="0.35">
      <c r="B148" t="s">
        <v>620</v>
      </c>
      <c r="C148">
        <f>COUNTIFS(fin_table[Branch Code],B148,fin_table[[loan Default ]], "Default")</f>
        <v>0</v>
      </c>
      <c r="D148">
        <f>COUNTIFS(fin_table[Branch Code],B148,fin_table[[loan Default ]], "Default")</f>
        <v>0</v>
      </c>
      <c r="K148" t="str">
        <v>BR479</v>
      </c>
      <c r="L148">
        <f>COUNTIFS(fin_table[Branch Code],K148,fin_table[Risk Level],"High-Risk")</f>
        <v>0</v>
      </c>
    </row>
    <row r="149" spans="2:12" x14ac:dyDescent="0.35">
      <c r="B149" t="s">
        <v>630</v>
      </c>
      <c r="C149">
        <f>COUNTIFS(fin_table[Branch Code],B149,fin_table[[loan Default ]], "Default")</f>
        <v>0</v>
      </c>
      <c r="D149">
        <f>COUNTIFS(fin_table[Branch Code],B149,fin_table[[loan Default ]], "Default")</f>
        <v>0</v>
      </c>
      <c r="K149" t="str">
        <v>BR453</v>
      </c>
      <c r="L149">
        <f>COUNTIFS(fin_table[Branch Code],K149,fin_table[Risk Level],"High-Risk")</f>
        <v>0</v>
      </c>
    </row>
    <row r="150" spans="2:12" x14ac:dyDescent="0.35">
      <c r="B150" t="s">
        <v>634</v>
      </c>
      <c r="C150">
        <f>COUNTIFS(fin_table[Branch Code],B150,fin_table[[loan Default ]], "Default")</f>
        <v>2</v>
      </c>
      <c r="D150">
        <f>COUNTIFS(fin_table[Branch Code],B150,fin_table[[loan Default ]], "Default")</f>
        <v>2</v>
      </c>
      <c r="K150" t="str">
        <v>BR842</v>
      </c>
      <c r="L150">
        <f>COUNTIFS(fin_table[Branch Code],K150,fin_table[Risk Level],"High-Risk")</f>
        <v>0</v>
      </c>
    </row>
    <row r="151" spans="2:12" x14ac:dyDescent="0.35">
      <c r="B151" t="s">
        <v>641</v>
      </c>
      <c r="C151">
        <f>COUNTIFS(fin_table[Branch Code],B151,fin_table[[loan Default ]], "Default")</f>
        <v>1</v>
      </c>
      <c r="D151">
        <f>COUNTIFS(fin_table[Branch Code],B151,fin_table[[loan Default ]], "Default")</f>
        <v>1</v>
      </c>
      <c r="K151" t="str">
        <v>BR365</v>
      </c>
      <c r="L151">
        <f>COUNTIFS(fin_table[Branch Code],K151,fin_table[Risk Level],"High-Risk")</f>
        <v>1</v>
      </c>
    </row>
    <row r="152" spans="2:12" x14ac:dyDescent="0.35">
      <c r="B152" t="s">
        <v>645</v>
      </c>
      <c r="C152">
        <f>COUNTIFS(fin_table[Branch Code],B152,fin_table[[loan Default ]], "Default")</f>
        <v>0</v>
      </c>
      <c r="D152">
        <f>COUNTIFS(fin_table[Branch Code],B152,fin_table[[loan Default ]], "Default")</f>
        <v>0</v>
      </c>
      <c r="K152" t="str">
        <v>BR793</v>
      </c>
      <c r="L152">
        <f>COUNTIFS(fin_table[Branch Code],K152,fin_table[Risk Level],"High-Risk")</f>
        <v>0</v>
      </c>
    </row>
    <row r="153" spans="2:12" x14ac:dyDescent="0.35">
      <c r="B153" t="s">
        <v>649</v>
      </c>
      <c r="C153">
        <f>COUNTIFS(fin_table[Branch Code],B153,fin_table[[loan Default ]], "Default")</f>
        <v>1</v>
      </c>
      <c r="D153">
        <f>COUNTIFS(fin_table[Branch Code],B153,fin_table[[loan Default ]], "Default")</f>
        <v>1</v>
      </c>
      <c r="K153" t="str">
        <v>BR951</v>
      </c>
      <c r="L153">
        <f>COUNTIFS(fin_table[Branch Code],K153,fin_table[Risk Level],"High-Risk")</f>
        <v>0</v>
      </c>
    </row>
    <row r="154" spans="2:12" x14ac:dyDescent="0.35">
      <c r="B154" t="s">
        <v>656</v>
      </c>
      <c r="C154">
        <f>COUNTIFS(fin_table[Branch Code],B154,fin_table[[loan Default ]], "Default")</f>
        <v>1</v>
      </c>
      <c r="D154">
        <f>COUNTIFS(fin_table[Branch Code],B154,fin_table[[loan Default ]], "Default")</f>
        <v>1</v>
      </c>
      <c r="K154" t="str">
        <v>BR432</v>
      </c>
      <c r="L154">
        <f>COUNTIFS(fin_table[Branch Code],K154,fin_table[Risk Level],"High-Risk")</f>
        <v>0</v>
      </c>
    </row>
    <row r="155" spans="2:12" x14ac:dyDescent="0.35">
      <c r="B155" t="s">
        <v>660</v>
      </c>
      <c r="C155">
        <f>COUNTIFS(fin_table[Branch Code],B155,fin_table[[loan Default ]], "Default")</f>
        <v>0</v>
      </c>
      <c r="D155">
        <f>COUNTIFS(fin_table[Branch Code],B155,fin_table[[loan Default ]], "Default")</f>
        <v>0</v>
      </c>
      <c r="K155" t="str">
        <v>BR612</v>
      </c>
      <c r="L155">
        <f>COUNTIFS(fin_table[Branch Code],K155,fin_table[Risk Level],"High-Risk")</f>
        <v>1</v>
      </c>
    </row>
    <row r="156" spans="2:12" x14ac:dyDescent="0.35">
      <c r="B156" t="s">
        <v>664</v>
      </c>
      <c r="C156">
        <f>COUNTIFS(fin_table[Branch Code],B156,fin_table[[loan Default ]], "Default")</f>
        <v>0</v>
      </c>
      <c r="D156">
        <f>COUNTIFS(fin_table[Branch Code],B156,fin_table[[loan Default ]], "Default")</f>
        <v>0</v>
      </c>
      <c r="K156" t="str">
        <v>BR232</v>
      </c>
      <c r="L156">
        <f>COUNTIFS(fin_table[Branch Code],K156,fin_table[Risk Level],"High-Risk")</f>
        <v>1</v>
      </c>
    </row>
    <row r="157" spans="2:12" x14ac:dyDescent="0.35">
      <c r="B157" t="s">
        <v>668</v>
      </c>
      <c r="C157">
        <f>COUNTIFS(fin_table[Branch Code],B157,fin_table[[loan Default ]], "Default")</f>
        <v>0</v>
      </c>
      <c r="D157">
        <f>COUNTIFS(fin_table[Branch Code],B157,fin_table[[loan Default ]], "Default")</f>
        <v>0</v>
      </c>
      <c r="K157" t="str">
        <v>BR691</v>
      </c>
      <c r="L157">
        <f>COUNTIFS(fin_table[Branch Code],K157,fin_table[Risk Level],"High-Risk")</f>
        <v>0</v>
      </c>
    </row>
    <row r="158" spans="2:12" x14ac:dyDescent="0.35">
      <c r="B158" t="s">
        <v>675</v>
      </c>
      <c r="C158">
        <f>COUNTIFS(fin_table[Branch Code],B158,fin_table[[loan Default ]], "Default")</f>
        <v>1</v>
      </c>
      <c r="D158">
        <f>COUNTIFS(fin_table[Branch Code],B158,fin_table[[loan Default ]], "Default")</f>
        <v>1</v>
      </c>
      <c r="K158" t="str">
        <v>BR852</v>
      </c>
      <c r="L158">
        <f>COUNTIFS(fin_table[Branch Code],K158,fin_table[Risk Level],"High-Risk")</f>
        <v>0</v>
      </c>
    </row>
    <row r="159" spans="2:12" x14ac:dyDescent="0.35">
      <c r="B159" t="s">
        <v>682</v>
      </c>
      <c r="C159">
        <f>COUNTIFS(fin_table[Branch Code],B159,fin_table[[loan Default ]], "Default")</f>
        <v>0</v>
      </c>
      <c r="D159">
        <f>COUNTIFS(fin_table[Branch Code],B159,fin_table[[loan Default ]], "Default")</f>
        <v>0</v>
      </c>
      <c r="K159" t="str">
        <v>BR834</v>
      </c>
      <c r="L159">
        <f>COUNTIFS(fin_table[Branch Code],K159,fin_table[Risk Level],"High-Risk")</f>
        <v>0</v>
      </c>
    </row>
    <row r="160" spans="2:12" x14ac:dyDescent="0.35">
      <c r="B160" t="s">
        <v>686</v>
      </c>
      <c r="C160">
        <f>COUNTIFS(fin_table[Branch Code],B160,fin_table[[loan Default ]], "Default")</f>
        <v>1</v>
      </c>
      <c r="D160">
        <f>COUNTIFS(fin_table[Branch Code],B160,fin_table[[loan Default ]], "Default")</f>
        <v>1</v>
      </c>
      <c r="K160" t="str">
        <v>BR634</v>
      </c>
      <c r="L160">
        <f>COUNTIFS(fin_table[Branch Code],K160,fin_table[Risk Level],"High-Risk")</f>
        <v>0</v>
      </c>
    </row>
    <row r="161" spans="2:12" x14ac:dyDescent="0.35">
      <c r="B161" t="s">
        <v>690</v>
      </c>
      <c r="C161">
        <f>COUNTIFS(fin_table[Branch Code],B161,fin_table[[loan Default ]], "Default")</f>
        <v>0</v>
      </c>
      <c r="D161">
        <f>COUNTIFS(fin_table[Branch Code],B161,fin_table[[loan Default ]], "Default")</f>
        <v>0</v>
      </c>
      <c r="K161" t="str">
        <v>BR595</v>
      </c>
      <c r="L161">
        <f>COUNTIFS(fin_table[Branch Code],K161,fin_table[Risk Level],"High-Risk")</f>
        <v>0</v>
      </c>
    </row>
    <row r="162" spans="2:12" x14ac:dyDescent="0.35">
      <c r="B162" t="s">
        <v>694</v>
      </c>
      <c r="C162">
        <f>COUNTIFS(fin_table[Branch Code],B162,fin_table[[loan Default ]], "Default")</f>
        <v>1</v>
      </c>
      <c r="D162">
        <f>COUNTIFS(fin_table[Branch Code],B162,fin_table[[loan Default ]], "Default")</f>
        <v>1</v>
      </c>
      <c r="K162" t="str">
        <v>BR720</v>
      </c>
      <c r="L162">
        <f>COUNTIFS(fin_table[Branch Code],K162,fin_table[Risk Level],"High-Risk")</f>
        <v>1</v>
      </c>
    </row>
    <row r="163" spans="2:12" x14ac:dyDescent="0.35">
      <c r="B163" t="s">
        <v>698</v>
      </c>
      <c r="C163">
        <f>COUNTIFS(fin_table[Branch Code],B163,fin_table[[loan Default ]], "Default")</f>
        <v>0</v>
      </c>
      <c r="D163">
        <f>COUNTIFS(fin_table[Branch Code],B163,fin_table[[loan Default ]], "Default")</f>
        <v>0</v>
      </c>
      <c r="K163" t="str">
        <v>BR718</v>
      </c>
      <c r="L163">
        <f>COUNTIFS(fin_table[Branch Code],K163,fin_table[Risk Level],"High-Risk")</f>
        <v>0</v>
      </c>
    </row>
    <row r="164" spans="2:12" x14ac:dyDescent="0.35">
      <c r="B164" t="s">
        <v>701</v>
      </c>
      <c r="C164">
        <f>COUNTIFS(fin_table[Branch Code],B164,fin_table[[loan Default ]], "Default")</f>
        <v>0</v>
      </c>
      <c r="D164">
        <f>COUNTIFS(fin_table[Branch Code],B164,fin_table[[loan Default ]], "Default")</f>
        <v>0</v>
      </c>
      <c r="K164" t="str">
        <v>BR756</v>
      </c>
      <c r="L164">
        <f>COUNTIFS(fin_table[Branch Code],K164,fin_table[Risk Level],"High-Risk")</f>
        <v>0</v>
      </c>
    </row>
    <row r="165" spans="2:12" x14ac:dyDescent="0.35">
      <c r="B165" t="s">
        <v>705</v>
      </c>
      <c r="C165">
        <f>COUNTIFS(fin_table[Branch Code],B165,fin_table[[loan Default ]], "Default")</f>
        <v>0</v>
      </c>
      <c r="D165">
        <f>COUNTIFS(fin_table[Branch Code],B165,fin_table[[loan Default ]], "Default")</f>
        <v>0</v>
      </c>
      <c r="K165" t="str">
        <v>BR468</v>
      </c>
      <c r="L165">
        <f>COUNTIFS(fin_table[Branch Code],K165,fin_table[Risk Level],"High-Risk")</f>
        <v>0</v>
      </c>
    </row>
    <row r="166" spans="2:12" x14ac:dyDescent="0.35">
      <c r="B166" t="s">
        <v>709</v>
      </c>
      <c r="C166">
        <f>COUNTIFS(fin_table[Branch Code],B166,fin_table[[loan Default ]], "Default")</f>
        <v>1</v>
      </c>
      <c r="D166">
        <f>COUNTIFS(fin_table[Branch Code],B166,fin_table[[loan Default ]], "Default")</f>
        <v>1</v>
      </c>
      <c r="K166" t="str">
        <v>BR965</v>
      </c>
      <c r="L166">
        <f>COUNTIFS(fin_table[Branch Code],K166,fin_table[Risk Level],"High-Risk")</f>
        <v>0</v>
      </c>
    </row>
    <row r="167" spans="2:12" x14ac:dyDescent="0.35">
      <c r="B167" t="s">
        <v>713</v>
      </c>
      <c r="C167">
        <f>COUNTIFS(fin_table[Branch Code],B167,fin_table[[loan Default ]], "Default")</f>
        <v>1</v>
      </c>
      <c r="D167">
        <f>COUNTIFS(fin_table[Branch Code],B167,fin_table[[loan Default ]], "Default")</f>
        <v>1</v>
      </c>
      <c r="K167" t="str">
        <v>BR750</v>
      </c>
      <c r="L167">
        <f>COUNTIFS(fin_table[Branch Code],K167,fin_table[Risk Level],"High-Risk")</f>
        <v>0</v>
      </c>
    </row>
    <row r="168" spans="2:12" x14ac:dyDescent="0.35">
      <c r="B168" t="s">
        <v>717</v>
      </c>
      <c r="C168">
        <f>COUNTIFS(fin_table[Branch Code],B168,fin_table[[loan Default ]], "Default")</f>
        <v>0</v>
      </c>
      <c r="D168">
        <f>COUNTIFS(fin_table[Branch Code],B168,fin_table[[loan Default ]], "Default")</f>
        <v>0</v>
      </c>
      <c r="K168" t="str">
        <v>BR895</v>
      </c>
      <c r="L168">
        <f>COUNTIFS(fin_table[Branch Code],K168,fin_table[Risk Level],"High-Risk")</f>
        <v>1</v>
      </c>
    </row>
    <row r="169" spans="2:12" x14ac:dyDescent="0.35">
      <c r="B169" t="s">
        <v>721</v>
      </c>
      <c r="C169">
        <f>COUNTIFS(fin_table[Branch Code],B169,fin_table[[loan Default ]], "Default")</f>
        <v>0</v>
      </c>
      <c r="D169">
        <f>COUNTIFS(fin_table[Branch Code],B169,fin_table[[loan Default ]], "Default")</f>
        <v>0</v>
      </c>
      <c r="K169" t="str">
        <v>BR909</v>
      </c>
      <c r="L169">
        <f>COUNTIFS(fin_table[Branch Code],K169,fin_table[Risk Level],"High-Risk")</f>
        <v>0</v>
      </c>
    </row>
    <row r="170" spans="2:12" x14ac:dyDescent="0.35">
      <c r="B170" t="s">
        <v>725</v>
      </c>
      <c r="C170">
        <f>COUNTIFS(fin_table[Branch Code],B170,fin_table[[loan Default ]], "Default")</f>
        <v>1</v>
      </c>
      <c r="D170">
        <f>COUNTIFS(fin_table[Branch Code],B170,fin_table[[loan Default ]], "Default")</f>
        <v>1</v>
      </c>
      <c r="K170" t="str">
        <v>BR198</v>
      </c>
      <c r="L170">
        <f>COUNTIFS(fin_table[Branch Code],K170,fin_table[Risk Level],"High-Risk")</f>
        <v>0</v>
      </c>
    </row>
    <row r="171" spans="2:12" x14ac:dyDescent="0.35">
      <c r="B171" t="s">
        <v>732</v>
      </c>
      <c r="C171">
        <f>COUNTIFS(fin_table[Branch Code],B171,fin_table[[loan Default ]], "Default")</f>
        <v>1</v>
      </c>
      <c r="D171">
        <f>COUNTIFS(fin_table[Branch Code],B171,fin_table[[loan Default ]], "Default")</f>
        <v>1</v>
      </c>
      <c r="K171" t="str">
        <v>BR222</v>
      </c>
      <c r="L171">
        <f>COUNTIFS(fin_table[Branch Code],K171,fin_table[Risk Level],"High-Risk")</f>
        <v>0</v>
      </c>
    </row>
    <row r="172" spans="2:12" x14ac:dyDescent="0.35">
      <c r="B172" t="s">
        <v>739</v>
      </c>
      <c r="C172">
        <f>COUNTIFS(fin_table[Branch Code],B172,fin_table[[loan Default ]], "Default")</f>
        <v>2</v>
      </c>
      <c r="D172">
        <f>COUNTIFS(fin_table[Branch Code],B172,fin_table[[loan Default ]], "Default")</f>
        <v>2</v>
      </c>
      <c r="K172" t="str">
        <v>BR898</v>
      </c>
      <c r="L172">
        <f>COUNTIFS(fin_table[Branch Code],K172,fin_table[Risk Level],"High-Risk")</f>
        <v>0</v>
      </c>
    </row>
    <row r="173" spans="2:12" x14ac:dyDescent="0.35">
      <c r="B173" t="s">
        <v>743</v>
      </c>
      <c r="C173">
        <f>COUNTIFS(fin_table[Branch Code],B173,fin_table[[loan Default ]], "Default")</f>
        <v>1</v>
      </c>
      <c r="D173">
        <f>COUNTIFS(fin_table[Branch Code],B173,fin_table[[loan Default ]], "Default")</f>
        <v>1</v>
      </c>
      <c r="K173" t="str">
        <v>BR692</v>
      </c>
      <c r="L173">
        <f>COUNTIFS(fin_table[Branch Code],K173,fin_table[Risk Level],"High-Risk")</f>
        <v>0</v>
      </c>
    </row>
    <row r="174" spans="2:12" x14ac:dyDescent="0.35">
      <c r="B174" t="s">
        <v>747</v>
      </c>
      <c r="C174">
        <f>COUNTIFS(fin_table[Branch Code],B174,fin_table[[loan Default ]], "Default")</f>
        <v>1</v>
      </c>
      <c r="D174">
        <f>COUNTIFS(fin_table[Branch Code],B174,fin_table[[loan Default ]], "Default")</f>
        <v>1</v>
      </c>
      <c r="K174" t="str">
        <v>BR594</v>
      </c>
      <c r="L174">
        <f>COUNTIFS(fin_table[Branch Code],K174,fin_table[Risk Level],"High-Risk")</f>
        <v>0</v>
      </c>
    </row>
    <row r="175" spans="2:12" x14ac:dyDescent="0.35">
      <c r="B175" t="s">
        <v>751</v>
      </c>
      <c r="C175">
        <f>COUNTIFS(fin_table[Branch Code],B175,fin_table[[loan Default ]], "Default")</f>
        <v>0</v>
      </c>
      <c r="D175">
        <f>COUNTIFS(fin_table[Branch Code],B175,fin_table[[loan Default ]], "Default")</f>
        <v>0</v>
      </c>
      <c r="K175" t="str">
        <v>BR556</v>
      </c>
      <c r="L175">
        <f>COUNTIFS(fin_table[Branch Code],K175,fin_table[Risk Level],"High-Risk")</f>
        <v>0</v>
      </c>
    </row>
    <row r="176" spans="2:12" x14ac:dyDescent="0.35">
      <c r="B176" t="s">
        <v>761</v>
      </c>
      <c r="C176">
        <f>COUNTIFS(fin_table[Branch Code],B176,fin_table[[loan Default ]], "Default")</f>
        <v>0</v>
      </c>
      <c r="D176">
        <f>COUNTIFS(fin_table[Branch Code],B176,fin_table[[loan Default ]], "Default")</f>
        <v>0</v>
      </c>
      <c r="K176" t="str">
        <v>BR816</v>
      </c>
      <c r="L176">
        <f>COUNTIFS(fin_table[Branch Code],K176,fin_table[Risk Level],"High-Risk")</f>
        <v>1</v>
      </c>
    </row>
    <row r="177" spans="2:12" x14ac:dyDescent="0.35">
      <c r="B177" t="s">
        <v>765</v>
      </c>
      <c r="C177">
        <f>COUNTIFS(fin_table[Branch Code],B177,fin_table[[loan Default ]], "Default")</f>
        <v>0</v>
      </c>
      <c r="D177">
        <f>COUNTIFS(fin_table[Branch Code],B177,fin_table[[loan Default ]], "Default")</f>
        <v>0</v>
      </c>
      <c r="K177" t="str">
        <v>BR414</v>
      </c>
      <c r="L177">
        <f>COUNTIFS(fin_table[Branch Code],K177,fin_table[Risk Level],"High-Risk")</f>
        <v>0</v>
      </c>
    </row>
    <row r="178" spans="2:12" x14ac:dyDescent="0.35">
      <c r="B178" t="s">
        <v>769</v>
      </c>
      <c r="C178">
        <f>COUNTIFS(fin_table[Branch Code],B178,fin_table[[loan Default ]], "Default")</f>
        <v>1</v>
      </c>
      <c r="D178">
        <f>COUNTIFS(fin_table[Branch Code],B178,fin_table[[loan Default ]], "Default")</f>
        <v>1</v>
      </c>
      <c r="K178" t="str">
        <v>BR808</v>
      </c>
      <c r="L178">
        <f>COUNTIFS(fin_table[Branch Code],K178,fin_table[Risk Level],"High-Risk")</f>
        <v>0</v>
      </c>
    </row>
    <row r="179" spans="2:12" x14ac:dyDescent="0.35">
      <c r="B179" t="s">
        <v>773</v>
      </c>
      <c r="C179">
        <f>COUNTIFS(fin_table[Branch Code],B179,fin_table[[loan Default ]], "Default")</f>
        <v>2</v>
      </c>
      <c r="D179">
        <f>COUNTIFS(fin_table[Branch Code],B179,fin_table[[loan Default ]], "Default")</f>
        <v>2</v>
      </c>
      <c r="K179" t="str">
        <v>BR809</v>
      </c>
      <c r="L179">
        <f>COUNTIFS(fin_table[Branch Code],K179,fin_table[Risk Level],"High-Risk")</f>
        <v>0</v>
      </c>
    </row>
    <row r="180" spans="2:12" x14ac:dyDescent="0.35">
      <c r="B180" t="s">
        <v>777</v>
      </c>
      <c r="C180">
        <f>COUNTIFS(fin_table[Branch Code],B180,fin_table[[loan Default ]], "Default")</f>
        <v>0</v>
      </c>
      <c r="D180">
        <f>COUNTIFS(fin_table[Branch Code],B180,fin_table[[loan Default ]], "Default")</f>
        <v>0</v>
      </c>
      <c r="K180" t="str">
        <v>BR641</v>
      </c>
      <c r="L180">
        <f>COUNTIFS(fin_table[Branch Code],K180,fin_table[Risk Level],"High-Risk")</f>
        <v>0</v>
      </c>
    </row>
    <row r="181" spans="2:12" x14ac:dyDescent="0.35">
      <c r="B181" t="s">
        <v>781</v>
      </c>
      <c r="C181">
        <f>COUNTIFS(fin_table[Branch Code],B181,fin_table[[loan Default ]], "Default")</f>
        <v>0</v>
      </c>
      <c r="D181">
        <f>COUNTIFS(fin_table[Branch Code],B181,fin_table[[loan Default ]], "Default")</f>
        <v>0</v>
      </c>
      <c r="K181" t="str">
        <v>BR578</v>
      </c>
      <c r="L181">
        <f>COUNTIFS(fin_table[Branch Code],K181,fin_table[Risk Level],"High-Risk")</f>
        <v>0</v>
      </c>
    </row>
    <row r="182" spans="2:12" x14ac:dyDescent="0.35">
      <c r="B182" t="s">
        <v>785</v>
      </c>
      <c r="C182">
        <f>COUNTIFS(fin_table[Branch Code],B182,fin_table[[loan Default ]], "Default")</f>
        <v>0</v>
      </c>
      <c r="D182">
        <f>COUNTIFS(fin_table[Branch Code],B182,fin_table[[loan Default ]], "Default")</f>
        <v>0</v>
      </c>
      <c r="K182" t="str">
        <v>BR119</v>
      </c>
      <c r="L182">
        <f>COUNTIFS(fin_table[Branch Code],K182,fin_table[Risk Level],"High-Risk")</f>
        <v>0</v>
      </c>
    </row>
    <row r="183" spans="2:12" x14ac:dyDescent="0.35">
      <c r="B183" t="s">
        <v>792</v>
      </c>
      <c r="C183">
        <f>COUNTIFS(fin_table[Branch Code],B183,fin_table[[loan Default ]], "Default")</f>
        <v>1</v>
      </c>
      <c r="D183">
        <f>COUNTIFS(fin_table[Branch Code],B183,fin_table[[loan Default ]], "Default")</f>
        <v>1</v>
      </c>
      <c r="K183" t="str">
        <v>BR229</v>
      </c>
      <c r="L183">
        <f>COUNTIFS(fin_table[Branch Code],K183,fin_table[Risk Level],"High-Risk")</f>
        <v>0</v>
      </c>
    </row>
    <row r="184" spans="2:12" x14ac:dyDescent="0.35">
      <c r="B184" t="s">
        <v>796</v>
      </c>
      <c r="C184">
        <f>COUNTIFS(fin_table[Branch Code],B184,fin_table[[loan Default ]], "Default")</f>
        <v>1</v>
      </c>
      <c r="D184">
        <f>COUNTIFS(fin_table[Branch Code],B184,fin_table[[loan Default ]], "Default")</f>
        <v>1</v>
      </c>
      <c r="K184" t="str">
        <v>BR392</v>
      </c>
      <c r="L184">
        <f>COUNTIFS(fin_table[Branch Code],K184,fin_table[Risk Level],"High-Risk")</f>
        <v>1</v>
      </c>
    </row>
    <row r="185" spans="2:12" x14ac:dyDescent="0.35">
      <c r="B185" t="s">
        <v>803</v>
      </c>
      <c r="C185">
        <f>COUNTIFS(fin_table[Branch Code],B185,fin_table[[loan Default ]], "Default")</f>
        <v>1</v>
      </c>
      <c r="D185">
        <f>COUNTIFS(fin_table[Branch Code],B185,fin_table[[loan Default ]], "Default")</f>
        <v>1</v>
      </c>
      <c r="K185" t="str">
        <v>BR231</v>
      </c>
      <c r="L185">
        <f>COUNTIFS(fin_table[Branch Code],K185,fin_table[Risk Level],"High-Risk")</f>
        <v>0</v>
      </c>
    </row>
    <row r="186" spans="2:12" x14ac:dyDescent="0.35">
      <c r="B186" t="s">
        <v>810</v>
      </c>
      <c r="C186">
        <f>COUNTIFS(fin_table[Branch Code],B186,fin_table[[loan Default ]], "Default")</f>
        <v>1</v>
      </c>
      <c r="D186">
        <f>COUNTIFS(fin_table[Branch Code],B186,fin_table[[loan Default ]], "Default")</f>
        <v>1</v>
      </c>
      <c r="K186" t="str">
        <v>BR153</v>
      </c>
      <c r="L186">
        <f>COUNTIFS(fin_table[Branch Code],K186,fin_table[Risk Level],"High-Risk")</f>
        <v>1</v>
      </c>
    </row>
    <row r="187" spans="2:12" x14ac:dyDescent="0.35">
      <c r="B187" t="s">
        <v>814</v>
      </c>
      <c r="C187">
        <f>COUNTIFS(fin_table[Branch Code],B187,fin_table[[loan Default ]], "Default")</f>
        <v>1</v>
      </c>
      <c r="D187">
        <f>COUNTIFS(fin_table[Branch Code],B187,fin_table[[loan Default ]], "Default")</f>
        <v>1</v>
      </c>
      <c r="K187" t="str">
        <v>BR989</v>
      </c>
      <c r="L187">
        <f>COUNTIFS(fin_table[Branch Code],K187,fin_table[Risk Level],"High-Risk")</f>
        <v>0</v>
      </c>
    </row>
    <row r="188" spans="2:12" x14ac:dyDescent="0.35">
      <c r="B188" t="s">
        <v>818</v>
      </c>
      <c r="C188">
        <f>COUNTIFS(fin_table[Branch Code],B188,fin_table[[loan Default ]], "Default")</f>
        <v>0</v>
      </c>
      <c r="D188">
        <f>COUNTIFS(fin_table[Branch Code],B188,fin_table[[loan Default ]], "Default")</f>
        <v>0</v>
      </c>
      <c r="K188" t="str">
        <v>BR892</v>
      </c>
      <c r="L188">
        <f>COUNTIFS(fin_table[Branch Code],K188,fin_table[Risk Level],"High-Risk")</f>
        <v>0</v>
      </c>
    </row>
    <row r="189" spans="2:12" x14ac:dyDescent="0.35">
      <c r="B189" t="s">
        <v>822</v>
      </c>
      <c r="C189">
        <f>COUNTIFS(fin_table[Branch Code],B189,fin_table[[loan Default ]], "Default")</f>
        <v>0</v>
      </c>
      <c r="D189">
        <f>COUNTIFS(fin_table[Branch Code],B189,fin_table[[loan Default ]], "Default")</f>
        <v>0</v>
      </c>
      <c r="K189" t="str">
        <v>BR486</v>
      </c>
      <c r="L189">
        <f>COUNTIFS(fin_table[Branch Code],K189,fin_table[Risk Level],"High-Risk")</f>
        <v>0</v>
      </c>
    </row>
    <row r="190" spans="2:12" x14ac:dyDescent="0.35">
      <c r="B190" t="s">
        <v>826</v>
      </c>
      <c r="C190">
        <f>COUNTIFS(fin_table[Branch Code],B190,fin_table[[loan Default ]], "Default")</f>
        <v>1</v>
      </c>
      <c r="D190">
        <f>COUNTIFS(fin_table[Branch Code],B190,fin_table[[loan Default ]], "Default")</f>
        <v>1</v>
      </c>
      <c r="K190" t="str">
        <v>BR364</v>
      </c>
      <c r="L190">
        <f>COUNTIFS(fin_table[Branch Code],K190,fin_table[Risk Level],"High-Risk")</f>
        <v>0</v>
      </c>
    </row>
    <row r="191" spans="2:12" x14ac:dyDescent="0.35">
      <c r="B191" t="s">
        <v>833</v>
      </c>
      <c r="C191">
        <f>COUNTIFS(fin_table[Branch Code],B191,fin_table[[loan Default ]], "Default")</f>
        <v>0</v>
      </c>
      <c r="D191">
        <f>COUNTIFS(fin_table[Branch Code],B191,fin_table[[loan Default ]], "Default")</f>
        <v>0</v>
      </c>
      <c r="K191" t="str">
        <v>BR559</v>
      </c>
      <c r="L191">
        <f>COUNTIFS(fin_table[Branch Code],K191,fin_table[Risk Level],"High-Risk")</f>
        <v>0</v>
      </c>
    </row>
    <row r="192" spans="2:12" x14ac:dyDescent="0.35">
      <c r="B192" t="s">
        <v>837</v>
      </c>
      <c r="C192">
        <f>COUNTIFS(fin_table[Branch Code],B192,fin_table[[loan Default ]], "Default")</f>
        <v>0</v>
      </c>
      <c r="D192">
        <f>COUNTIFS(fin_table[Branch Code],B192,fin_table[[loan Default ]], "Default")</f>
        <v>0</v>
      </c>
      <c r="K192" t="str">
        <v>BR557</v>
      </c>
      <c r="L192">
        <f>COUNTIFS(fin_table[Branch Code],K192,fin_table[Risk Level],"High-Risk")</f>
        <v>0</v>
      </c>
    </row>
    <row r="193" spans="2:12" x14ac:dyDescent="0.35">
      <c r="B193" t="s">
        <v>844</v>
      </c>
      <c r="C193">
        <f>COUNTIFS(fin_table[Branch Code],B193,fin_table[[loan Default ]], "Default")</f>
        <v>0</v>
      </c>
      <c r="D193">
        <f>COUNTIFS(fin_table[Branch Code],B193,fin_table[[loan Default ]], "Default")</f>
        <v>0</v>
      </c>
      <c r="K193" t="str">
        <v>BR142</v>
      </c>
      <c r="L193">
        <f>COUNTIFS(fin_table[Branch Code],K193,fin_table[Risk Level],"High-Risk")</f>
        <v>0</v>
      </c>
    </row>
    <row r="194" spans="2:12" x14ac:dyDescent="0.35">
      <c r="B194" t="s">
        <v>848</v>
      </c>
      <c r="C194">
        <f>COUNTIFS(fin_table[Branch Code],B194,fin_table[[loan Default ]], "Default")</f>
        <v>0</v>
      </c>
      <c r="D194">
        <f>COUNTIFS(fin_table[Branch Code],B194,fin_table[[loan Default ]], "Default")</f>
        <v>0</v>
      </c>
      <c r="K194" t="str">
        <v>BR685</v>
      </c>
      <c r="L194">
        <f>COUNTIFS(fin_table[Branch Code],K194,fin_table[Risk Level],"High-Risk")</f>
        <v>0</v>
      </c>
    </row>
    <row r="195" spans="2:12" x14ac:dyDescent="0.35">
      <c r="B195" t="s">
        <v>852</v>
      </c>
      <c r="C195">
        <f>COUNTIFS(fin_table[Branch Code],B195,fin_table[[loan Default ]], "Default")</f>
        <v>1</v>
      </c>
      <c r="D195">
        <f>COUNTIFS(fin_table[Branch Code],B195,fin_table[[loan Default ]], "Default")</f>
        <v>1</v>
      </c>
      <c r="K195" t="str">
        <v>BR961</v>
      </c>
      <c r="L195">
        <f>COUNTIFS(fin_table[Branch Code],K195,fin_table[Risk Level],"High-Risk")</f>
        <v>1</v>
      </c>
    </row>
    <row r="196" spans="2:12" x14ac:dyDescent="0.35">
      <c r="B196" t="s">
        <v>856</v>
      </c>
      <c r="C196">
        <f>COUNTIFS(fin_table[Branch Code],B196,fin_table[[loan Default ]], "Default")</f>
        <v>1</v>
      </c>
      <c r="D196">
        <f>COUNTIFS(fin_table[Branch Code],B196,fin_table[[loan Default ]], "Default")</f>
        <v>1</v>
      </c>
      <c r="K196" t="str">
        <v>BR377</v>
      </c>
      <c r="L196">
        <f>COUNTIFS(fin_table[Branch Code],K196,fin_table[Risk Level],"High-Risk")</f>
        <v>0</v>
      </c>
    </row>
    <row r="197" spans="2:12" x14ac:dyDescent="0.35">
      <c r="B197" t="s">
        <v>860</v>
      </c>
      <c r="C197">
        <f>COUNTIFS(fin_table[Branch Code],B197,fin_table[[loan Default ]], "Default")</f>
        <v>2</v>
      </c>
      <c r="D197">
        <f>COUNTIFS(fin_table[Branch Code],B197,fin_table[[loan Default ]], "Default")</f>
        <v>2</v>
      </c>
      <c r="K197" t="str">
        <v>BR937</v>
      </c>
      <c r="L197">
        <f>COUNTIFS(fin_table[Branch Code],K197,fin_table[Risk Level],"High-Risk")</f>
        <v>0</v>
      </c>
    </row>
    <row r="198" spans="2:12" x14ac:dyDescent="0.35">
      <c r="B198" t="s">
        <v>864</v>
      </c>
      <c r="C198">
        <f>COUNTIFS(fin_table[Branch Code],B198,fin_table[[loan Default ]], "Default")</f>
        <v>2</v>
      </c>
      <c r="D198">
        <f>COUNTIFS(fin_table[Branch Code],B198,fin_table[[loan Default ]], "Default")</f>
        <v>2</v>
      </c>
      <c r="K198" t="str">
        <v>BR853</v>
      </c>
      <c r="L198">
        <f>COUNTIFS(fin_table[Branch Code],K198,fin_table[Risk Level],"High-Risk")</f>
        <v>1</v>
      </c>
    </row>
    <row r="199" spans="2:12" x14ac:dyDescent="0.35">
      <c r="B199" t="s">
        <v>871</v>
      </c>
      <c r="C199">
        <f>COUNTIFS(fin_table[Branch Code],B199,fin_table[[loan Default ]], "Default")</f>
        <v>1</v>
      </c>
      <c r="D199">
        <f>COUNTIFS(fin_table[Branch Code],B199,fin_table[[loan Default ]], "Default")</f>
        <v>1</v>
      </c>
      <c r="K199" t="str">
        <v>BR449</v>
      </c>
      <c r="L199">
        <f>COUNTIFS(fin_table[Branch Code],K199,fin_table[Risk Level],"High-Risk")</f>
        <v>1</v>
      </c>
    </row>
    <row r="200" spans="2:12" x14ac:dyDescent="0.35">
      <c r="B200" t="s">
        <v>877</v>
      </c>
      <c r="C200">
        <f>COUNTIFS(fin_table[Branch Code],B200,fin_table[[loan Default ]], "Default")</f>
        <v>0</v>
      </c>
      <c r="D200">
        <f>COUNTIFS(fin_table[Branch Code],B200,fin_table[[loan Default ]], "Default")</f>
        <v>0</v>
      </c>
      <c r="K200" t="str">
        <v>BR643</v>
      </c>
      <c r="L200">
        <f>COUNTIFS(fin_table[Branch Code],K200,fin_table[Risk Level],"High-Risk")</f>
        <v>0</v>
      </c>
    </row>
    <row r="201" spans="2:12" x14ac:dyDescent="0.35">
      <c r="B201" t="s">
        <v>887</v>
      </c>
      <c r="C201">
        <f>COUNTIFS(fin_table[Branch Code],B201,fin_table[[loan Default ]], "Default")</f>
        <v>0</v>
      </c>
      <c r="D201">
        <f>COUNTIFS(fin_table[Branch Code],B201,fin_table[[loan Default ]], "Default")</f>
        <v>0</v>
      </c>
      <c r="K201" t="str">
        <v>BR100</v>
      </c>
      <c r="L201">
        <f>COUNTIFS(fin_table[Branch Code],K201,fin_table[Risk Level],"High-Risk")</f>
        <v>0</v>
      </c>
    </row>
    <row r="202" spans="2:12" x14ac:dyDescent="0.35">
      <c r="B202" t="s">
        <v>894</v>
      </c>
      <c r="C202">
        <f>COUNTIFS(fin_table[Branch Code],B202,fin_table[[loan Default ]], "Default")</f>
        <v>2</v>
      </c>
      <c r="D202">
        <f>COUNTIFS(fin_table[Branch Code],B202,fin_table[[loan Default ]], "Default")</f>
        <v>2</v>
      </c>
      <c r="K202" t="str">
        <v>BR683</v>
      </c>
      <c r="L202">
        <f>COUNTIFS(fin_table[Branch Code],K202,fin_table[Risk Level],"High-Risk")</f>
        <v>0</v>
      </c>
    </row>
    <row r="203" spans="2:12" x14ac:dyDescent="0.35">
      <c r="B203" t="s">
        <v>898</v>
      </c>
      <c r="C203">
        <f>COUNTIFS(fin_table[Branch Code],B203,fin_table[[loan Default ]], "Default")</f>
        <v>0</v>
      </c>
      <c r="D203">
        <f>COUNTIFS(fin_table[Branch Code],B203,fin_table[[loan Default ]], "Default")</f>
        <v>0</v>
      </c>
      <c r="K203" t="str">
        <v>BR531</v>
      </c>
      <c r="L203">
        <f>COUNTIFS(fin_table[Branch Code],K203,fin_table[Risk Level],"High-Risk")</f>
        <v>0</v>
      </c>
    </row>
    <row r="204" spans="2:12" x14ac:dyDescent="0.35">
      <c r="B204" t="s">
        <v>902</v>
      </c>
      <c r="C204">
        <f>COUNTIFS(fin_table[Branch Code],B204,fin_table[[loan Default ]], "Default")</f>
        <v>1</v>
      </c>
      <c r="D204">
        <f>COUNTIFS(fin_table[Branch Code],B204,fin_table[[loan Default ]], "Default")</f>
        <v>1</v>
      </c>
      <c r="K204" t="str">
        <v>BR405</v>
      </c>
      <c r="L204">
        <f>COUNTIFS(fin_table[Branch Code],K204,fin_table[Risk Level],"High-Risk")</f>
        <v>0</v>
      </c>
    </row>
    <row r="205" spans="2:12" x14ac:dyDescent="0.35">
      <c r="B205" t="s">
        <v>906</v>
      </c>
      <c r="C205">
        <f>COUNTIFS(fin_table[Branch Code],B205,fin_table[[loan Default ]], "Default")</f>
        <v>0</v>
      </c>
      <c r="D205">
        <f>COUNTIFS(fin_table[Branch Code],B205,fin_table[[loan Default ]], "Default")</f>
        <v>0</v>
      </c>
      <c r="K205" t="str">
        <v>BR626</v>
      </c>
      <c r="L205">
        <f>COUNTIFS(fin_table[Branch Code],K205,fin_table[Risk Level],"High-Risk")</f>
        <v>1</v>
      </c>
    </row>
    <row r="206" spans="2:12" x14ac:dyDescent="0.35">
      <c r="B206" t="s">
        <v>910</v>
      </c>
      <c r="C206">
        <f>COUNTIFS(fin_table[Branch Code],B206,fin_table[[loan Default ]], "Default")</f>
        <v>1</v>
      </c>
      <c r="D206">
        <f>COUNTIFS(fin_table[Branch Code],B206,fin_table[[loan Default ]], "Default")</f>
        <v>1</v>
      </c>
      <c r="K206" t="str">
        <v>BR152</v>
      </c>
      <c r="L206">
        <f>COUNTIFS(fin_table[Branch Code],K206,fin_table[Risk Level],"High-Risk")</f>
        <v>1</v>
      </c>
    </row>
    <row r="207" spans="2:12" x14ac:dyDescent="0.35">
      <c r="B207" t="s">
        <v>917</v>
      </c>
      <c r="C207">
        <f>COUNTIFS(fin_table[Branch Code],B207,fin_table[[loan Default ]], "Default")</f>
        <v>1</v>
      </c>
      <c r="D207">
        <f>COUNTIFS(fin_table[Branch Code],B207,fin_table[[loan Default ]], "Default")</f>
        <v>1</v>
      </c>
      <c r="K207" t="str">
        <v>BR429</v>
      </c>
      <c r="L207">
        <f>COUNTIFS(fin_table[Branch Code],K207,fin_table[Risk Level],"High-Risk")</f>
        <v>0</v>
      </c>
    </row>
    <row r="208" spans="2:12" x14ac:dyDescent="0.35">
      <c r="B208" t="s">
        <v>921</v>
      </c>
      <c r="C208">
        <f>COUNTIFS(fin_table[Branch Code],B208,fin_table[[loan Default ]], "Default")</f>
        <v>0</v>
      </c>
      <c r="D208">
        <f>COUNTIFS(fin_table[Branch Code],B208,fin_table[[loan Default ]], "Default")</f>
        <v>0</v>
      </c>
      <c r="K208" t="str">
        <v>BR657</v>
      </c>
      <c r="L208">
        <f>COUNTIFS(fin_table[Branch Code],K208,fin_table[Risk Level],"High-Risk")</f>
        <v>0</v>
      </c>
    </row>
    <row r="209" spans="2:12" x14ac:dyDescent="0.35">
      <c r="B209" t="s">
        <v>925</v>
      </c>
      <c r="C209">
        <f>COUNTIFS(fin_table[Branch Code],B209,fin_table[[loan Default ]], "Default")</f>
        <v>0</v>
      </c>
      <c r="D209">
        <f>COUNTIFS(fin_table[Branch Code],B209,fin_table[[loan Default ]], "Default")</f>
        <v>0</v>
      </c>
      <c r="K209" t="str">
        <v>BR424</v>
      </c>
      <c r="L209">
        <f>COUNTIFS(fin_table[Branch Code],K209,fin_table[Risk Level],"High-Risk")</f>
        <v>0</v>
      </c>
    </row>
    <row r="210" spans="2:12" x14ac:dyDescent="0.35">
      <c r="B210" t="s">
        <v>929</v>
      </c>
      <c r="C210">
        <f>COUNTIFS(fin_table[Branch Code],B210,fin_table[[loan Default ]], "Default")</f>
        <v>0</v>
      </c>
      <c r="D210">
        <f>COUNTIFS(fin_table[Branch Code],B210,fin_table[[loan Default ]], "Default")</f>
        <v>0</v>
      </c>
      <c r="K210" t="str">
        <v>BR213</v>
      </c>
      <c r="L210">
        <f>COUNTIFS(fin_table[Branch Code],K210,fin_table[Risk Level],"High-Risk")</f>
        <v>0</v>
      </c>
    </row>
    <row r="211" spans="2:12" x14ac:dyDescent="0.35">
      <c r="B211" t="s">
        <v>933</v>
      </c>
      <c r="C211">
        <f>COUNTIFS(fin_table[Branch Code],B211,fin_table[[loan Default ]], "Default")</f>
        <v>1</v>
      </c>
      <c r="D211">
        <f>COUNTIFS(fin_table[Branch Code],B211,fin_table[[loan Default ]], "Default")</f>
        <v>1</v>
      </c>
      <c r="K211" t="str">
        <v>BR246</v>
      </c>
      <c r="L211">
        <f>COUNTIFS(fin_table[Branch Code],K211,fin_table[Risk Level],"High-Risk")</f>
        <v>0</v>
      </c>
    </row>
    <row r="212" spans="2:12" x14ac:dyDescent="0.35">
      <c r="B212" t="s">
        <v>937</v>
      </c>
      <c r="C212">
        <f>COUNTIFS(fin_table[Branch Code],B212,fin_table[[loan Default ]], "Default")</f>
        <v>0</v>
      </c>
      <c r="D212">
        <f>COUNTIFS(fin_table[Branch Code],B212,fin_table[[loan Default ]], "Default")</f>
        <v>0</v>
      </c>
      <c r="K212" t="str">
        <v>BR265</v>
      </c>
      <c r="L212">
        <f>COUNTIFS(fin_table[Branch Code],K212,fin_table[Risk Level],"High-Risk")</f>
        <v>0</v>
      </c>
    </row>
    <row r="213" spans="2:12" x14ac:dyDescent="0.35">
      <c r="B213" t="s">
        <v>941</v>
      </c>
      <c r="C213">
        <f>COUNTIFS(fin_table[Branch Code],B213,fin_table[[loan Default ]], "Default")</f>
        <v>1</v>
      </c>
      <c r="D213">
        <f>COUNTIFS(fin_table[Branch Code],B213,fin_table[[loan Default ]], "Default")</f>
        <v>1</v>
      </c>
      <c r="K213" t="str">
        <v>BR478</v>
      </c>
      <c r="L213">
        <f>COUNTIFS(fin_table[Branch Code],K213,fin_table[Risk Level],"High-Risk")</f>
        <v>0</v>
      </c>
    </row>
    <row r="214" spans="2:12" x14ac:dyDescent="0.35">
      <c r="B214" t="s">
        <v>945</v>
      </c>
      <c r="C214">
        <f>COUNTIFS(fin_table[Branch Code],B214,fin_table[[loan Default ]], "Default")</f>
        <v>2</v>
      </c>
      <c r="D214">
        <f>COUNTIFS(fin_table[Branch Code],B214,fin_table[[loan Default ]], "Default")</f>
        <v>2</v>
      </c>
      <c r="K214" t="str">
        <v>BR238</v>
      </c>
      <c r="L214">
        <f>COUNTIFS(fin_table[Branch Code],K214,fin_table[Risk Level],"High-Risk")</f>
        <v>0</v>
      </c>
    </row>
    <row r="215" spans="2:12" x14ac:dyDescent="0.35">
      <c r="B215" t="s">
        <v>948</v>
      </c>
      <c r="C215">
        <f>COUNTIFS(fin_table[Branch Code],B215,fin_table[[loan Default ]], "Default")</f>
        <v>0</v>
      </c>
      <c r="D215">
        <f>COUNTIFS(fin_table[Branch Code],B215,fin_table[[loan Default ]], "Default")</f>
        <v>0</v>
      </c>
      <c r="K215" t="str">
        <v>BR728</v>
      </c>
      <c r="L215">
        <f>COUNTIFS(fin_table[Branch Code],K215,fin_table[Risk Level],"High-Risk")</f>
        <v>0</v>
      </c>
    </row>
    <row r="216" spans="2:12" x14ac:dyDescent="0.35">
      <c r="B216" t="s">
        <v>955</v>
      </c>
      <c r="C216">
        <f>COUNTIFS(fin_table[Branch Code],B216,fin_table[[loan Default ]], "Default")</f>
        <v>0</v>
      </c>
      <c r="D216">
        <f>COUNTIFS(fin_table[Branch Code],B216,fin_table[[loan Default ]], "Default")</f>
        <v>0</v>
      </c>
      <c r="K216" t="str">
        <v>BR375</v>
      </c>
      <c r="L216">
        <f>COUNTIFS(fin_table[Branch Code],K216,fin_table[Risk Level],"High-Risk")</f>
        <v>0</v>
      </c>
    </row>
    <row r="217" spans="2:12" x14ac:dyDescent="0.35">
      <c r="B217" t="s">
        <v>959</v>
      </c>
      <c r="C217">
        <f>COUNTIFS(fin_table[Branch Code],B217,fin_table[[loan Default ]], "Default")</f>
        <v>0</v>
      </c>
      <c r="D217">
        <f>COUNTIFS(fin_table[Branch Code],B217,fin_table[[loan Default ]], "Default")</f>
        <v>0</v>
      </c>
      <c r="K217" t="str">
        <v>BR888</v>
      </c>
      <c r="L217">
        <f>COUNTIFS(fin_table[Branch Code],K217,fin_table[Risk Level],"High-Risk")</f>
        <v>0</v>
      </c>
    </row>
    <row r="218" spans="2:12" x14ac:dyDescent="0.35">
      <c r="B218" t="s">
        <v>966</v>
      </c>
      <c r="C218">
        <f>COUNTIFS(fin_table[Branch Code],B218,fin_table[[loan Default ]], "Default")</f>
        <v>0</v>
      </c>
      <c r="D218">
        <f>COUNTIFS(fin_table[Branch Code],B218,fin_table[[loan Default ]], "Default")</f>
        <v>0</v>
      </c>
      <c r="K218" t="str">
        <v>BR924</v>
      </c>
      <c r="L218">
        <f>COUNTIFS(fin_table[Branch Code],K218,fin_table[Risk Level],"High-Risk")</f>
        <v>2</v>
      </c>
    </row>
    <row r="219" spans="2:12" x14ac:dyDescent="0.35">
      <c r="B219" t="s">
        <v>970</v>
      </c>
      <c r="C219">
        <f>COUNTIFS(fin_table[Branch Code],B219,fin_table[[loan Default ]], "Default")</f>
        <v>1</v>
      </c>
      <c r="D219">
        <f>COUNTIFS(fin_table[Branch Code],B219,fin_table[[loan Default ]], "Default")</f>
        <v>1</v>
      </c>
      <c r="K219" t="str">
        <v>BR277</v>
      </c>
      <c r="L219">
        <f>COUNTIFS(fin_table[Branch Code],K219,fin_table[Risk Level],"High-Risk")</f>
        <v>0</v>
      </c>
    </row>
    <row r="220" spans="2:12" x14ac:dyDescent="0.35">
      <c r="B220" t="s">
        <v>974</v>
      </c>
      <c r="C220">
        <f>COUNTIFS(fin_table[Branch Code],B220,fin_table[[loan Default ]], "Default")</f>
        <v>1</v>
      </c>
      <c r="D220">
        <f>COUNTIFS(fin_table[Branch Code],B220,fin_table[[loan Default ]], "Default")</f>
        <v>1</v>
      </c>
      <c r="K220" t="str">
        <v>BR941</v>
      </c>
      <c r="L220">
        <f>COUNTIFS(fin_table[Branch Code],K220,fin_table[Risk Level],"High-Risk")</f>
        <v>0</v>
      </c>
    </row>
    <row r="221" spans="2:12" x14ac:dyDescent="0.35">
      <c r="B221" t="s">
        <v>981</v>
      </c>
      <c r="C221">
        <f>COUNTIFS(fin_table[Branch Code],B221,fin_table[[loan Default ]], "Default")</f>
        <v>0</v>
      </c>
      <c r="D221">
        <f>COUNTIFS(fin_table[Branch Code],B221,fin_table[[loan Default ]], "Default")</f>
        <v>0</v>
      </c>
      <c r="K221" t="str">
        <v>BR253</v>
      </c>
      <c r="L221">
        <f>COUNTIFS(fin_table[Branch Code],K221,fin_table[Risk Level],"High-Risk")</f>
        <v>0</v>
      </c>
    </row>
    <row r="222" spans="2:12" x14ac:dyDescent="0.35">
      <c r="B222" t="s">
        <v>988</v>
      </c>
      <c r="C222">
        <f>COUNTIFS(fin_table[Branch Code],B222,fin_table[[loan Default ]], "Default")</f>
        <v>1</v>
      </c>
      <c r="D222">
        <f>COUNTIFS(fin_table[Branch Code],B222,fin_table[[loan Default ]], "Default")</f>
        <v>1</v>
      </c>
      <c r="K222" t="str">
        <v>BR977</v>
      </c>
      <c r="L222">
        <f>COUNTIFS(fin_table[Branch Code],K222,fin_table[Risk Level],"High-Risk")</f>
        <v>1</v>
      </c>
    </row>
    <row r="223" spans="2:12" x14ac:dyDescent="0.35">
      <c r="B223" t="s">
        <v>992</v>
      </c>
      <c r="C223">
        <f>COUNTIFS(fin_table[Branch Code],B223,fin_table[[loan Default ]], "Default")</f>
        <v>0</v>
      </c>
      <c r="D223">
        <f>COUNTIFS(fin_table[Branch Code],B223,fin_table[[loan Default ]], "Default")</f>
        <v>0</v>
      </c>
      <c r="K223" t="str">
        <v>BR214</v>
      </c>
      <c r="L223">
        <f>COUNTIFS(fin_table[Branch Code],K223,fin_table[Risk Level],"High-Risk")</f>
        <v>0</v>
      </c>
    </row>
    <row r="224" spans="2:12" x14ac:dyDescent="0.35">
      <c r="B224" t="s">
        <v>996</v>
      </c>
      <c r="C224">
        <f>COUNTIFS(fin_table[Branch Code],B224,fin_table[[loan Default ]], "Default")</f>
        <v>0</v>
      </c>
      <c r="D224">
        <f>COUNTIFS(fin_table[Branch Code],B224,fin_table[[loan Default ]], "Default")</f>
        <v>0</v>
      </c>
      <c r="K224" t="str">
        <v>BR770</v>
      </c>
      <c r="L224">
        <f>COUNTIFS(fin_table[Branch Code],K224,fin_table[Risk Level],"High-Risk")</f>
        <v>0</v>
      </c>
    </row>
    <row r="225" spans="2:12" x14ac:dyDescent="0.35">
      <c r="B225" t="s">
        <v>1000</v>
      </c>
      <c r="C225">
        <f>COUNTIFS(fin_table[Branch Code],B225,fin_table[[loan Default ]], "Default")</f>
        <v>0</v>
      </c>
      <c r="D225">
        <f>COUNTIFS(fin_table[Branch Code],B225,fin_table[[loan Default ]], "Default")</f>
        <v>0</v>
      </c>
      <c r="K225" t="str">
        <v>BR653</v>
      </c>
      <c r="L225">
        <f>COUNTIFS(fin_table[Branch Code],K225,fin_table[Risk Level],"High-Risk")</f>
        <v>0</v>
      </c>
    </row>
    <row r="226" spans="2:12" x14ac:dyDescent="0.35">
      <c r="B226" t="s">
        <v>1004</v>
      </c>
      <c r="C226">
        <f>COUNTIFS(fin_table[Branch Code],B226,fin_table[[loan Default ]], "Default")</f>
        <v>0</v>
      </c>
      <c r="D226">
        <f>COUNTIFS(fin_table[Branch Code],B226,fin_table[[loan Default ]], "Default")</f>
        <v>0</v>
      </c>
      <c r="K226" t="str">
        <v>BR858</v>
      </c>
      <c r="L226">
        <f>COUNTIFS(fin_table[Branch Code],K226,fin_table[Risk Level],"High-Risk")</f>
        <v>0</v>
      </c>
    </row>
    <row r="227" spans="2:12" x14ac:dyDescent="0.35">
      <c r="B227" t="s">
        <v>1008</v>
      </c>
      <c r="C227">
        <f>COUNTIFS(fin_table[Branch Code],B227,fin_table[[loan Default ]], "Default")</f>
        <v>1</v>
      </c>
      <c r="D227">
        <f>COUNTIFS(fin_table[Branch Code],B227,fin_table[[loan Default ]], "Default")</f>
        <v>1</v>
      </c>
      <c r="K227" t="str">
        <v>BR167</v>
      </c>
      <c r="L227">
        <f>COUNTIFS(fin_table[Branch Code],K227,fin_table[Risk Level],"High-Risk")</f>
        <v>1</v>
      </c>
    </row>
    <row r="228" spans="2:12" x14ac:dyDescent="0.35">
      <c r="B228" t="s">
        <v>1012</v>
      </c>
      <c r="C228">
        <f>COUNTIFS(fin_table[Branch Code],B228,fin_table[[loan Default ]], "Default")</f>
        <v>1</v>
      </c>
      <c r="D228">
        <f>COUNTIFS(fin_table[Branch Code],B228,fin_table[[loan Default ]], "Default")</f>
        <v>1</v>
      </c>
      <c r="K228" t="str">
        <v>BR544</v>
      </c>
      <c r="L228">
        <f>COUNTIFS(fin_table[Branch Code],K228,fin_table[Risk Level],"High-Risk")</f>
        <v>0</v>
      </c>
    </row>
    <row r="229" spans="2:12" x14ac:dyDescent="0.35">
      <c r="B229" t="s">
        <v>1018</v>
      </c>
      <c r="C229">
        <f>COUNTIFS(fin_table[Branch Code],B229,fin_table[[loan Default ]], "Default")</f>
        <v>1</v>
      </c>
      <c r="D229">
        <f>COUNTIFS(fin_table[Branch Code],B229,fin_table[[loan Default ]], "Default")</f>
        <v>1</v>
      </c>
      <c r="K229" t="str">
        <v>BR425</v>
      </c>
      <c r="L229">
        <f>COUNTIFS(fin_table[Branch Code],K229,fin_table[Risk Level],"High-Risk")</f>
        <v>0</v>
      </c>
    </row>
    <row r="230" spans="2:12" x14ac:dyDescent="0.35">
      <c r="B230" t="s">
        <v>1022</v>
      </c>
      <c r="C230">
        <f>COUNTIFS(fin_table[Branch Code],B230,fin_table[[loan Default ]], "Default")</f>
        <v>0</v>
      </c>
      <c r="D230">
        <f>COUNTIFS(fin_table[Branch Code],B230,fin_table[[loan Default ]], "Default")</f>
        <v>0</v>
      </c>
      <c r="K230" t="str">
        <v>BR945</v>
      </c>
      <c r="L230">
        <f>COUNTIFS(fin_table[Branch Code],K230,fin_table[Risk Level],"High-Risk")</f>
        <v>1</v>
      </c>
    </row>
    <row r="231" spans="2:12" x14ac:dyDescent="0.35">
      <c r="B231" t="s">
        <v>1029</v>
      </c>
      <c r="C231">
        <f>COUNTIFS(fin_table[Branch Code],B231,fin_table[[loan Default ]], "Default")</f>
        <v>1</v>
      </c>
      <c r="D231">
        <f>COUNTIFS(fin_table[Branch Code],B231,fin_table[[loan Default ]], "Default")</f>
        <v>1</v>
      </c>
      <c r="K231" t="str">
        <v>BR701</v>
      </c>
      <c r="L231">
        <f>COUNTIFS(fin_table[Branch Code],K231,fin_table[Risk Level],"High-Risk")</f>
        <v>0</v>
      </c>
    </row>
    <row r="232" spans="2:12" x14ac:dyDescent="0.35">
      <c r="B232" t="s">
        <v>1036</v>
      </c>
      <c r="C232">
        <f>COUNTIFS(fin_table[Branch Code],B232,fin_table[[loan Default ]], "Default")</f>
        <v>0</v>
      </c>
      <c r="D232">
        <f>COUNTIFS(fin_table[Branch Code],B232,fin_table[[loan Default ]], "Default")</f>
        <v>0</v>
      </c>
      <c r="K232" t="str">
        <v>BR979</v>
      </c>
      <c r="L232">
        <f>COUNTIFS(fin_table[Branch Code],K232,fin_table[Risk Level],"High-Risk")</f>
        <v>0</v>
      </c>
    </row>
    <row r="233" spans="2:12" x14ac:dyDescent="0.35">
      <c r="B233" t="s">
        <v>1040</v>
      </c>
      <c r="C233">
        <f>COUNTIFS(fin_table[Branch Code],B233,fin_table[[loan Default ]], "Default")</f>
        <v>0</v>
      </c>
      <c r="D233">
        <f>COUNTIFS(fin_table[Branch Code],B233,fin_table[[loan Default ]], "Default")</f>
        <v>0</v>
      </c>
      <c r="K233" t="str">
        <v>BR458</v>
      </c>
      <c r="L233">
        <f>COUNTIFS(fin_table[Branch Code],K233,fin_table[Risk Level],"High-Risk")</f>
        <v>0</v>
      </c>
    </row>
    <row r="234" spans="2:12" x14ac:dyDescent="0.35">
      <c r="B234" t="s">
        <v>1044</v>
      </c>
      <c r="C234">
        <f>COUNTIFS(fin_table[Branch Code],B234,fin_table[[loan Default ]], "Default")</f>
        <v>0</v>
      </c>
      <c r="D234">
        <f>COUNTIFS(fin_table[Branch Code],B234,fin_table[[loan Default ]], "Default")</f>
        <v>0</v>
      </c>
      <c r="K234" t="str">
        <v>BR244</v>
      </c>
      <c r="L234">
        <f>COUNTIFS(fin_table[Branch Code],K234,fin_table[Risk Level],"High-Risk")</f>
        <v>0</v>
      </c>
    </row>
    <row r="235" spans="2:12" x14ac:dyDescent="0.35">
      <c r="B235" t="s">
        <v>1048</v>
      </c>
      <c r="C235">
        <f>COUNTIFS(fin_table[Branch Code],B235,fin_table[[loan Default ]], "Default")</f>
        <v>0</v>
      </c>
      <c r="D235">
        <f>COUNTIFS(fin_table[Branch Code],B235,fin_table[[loan Default ]], "Default")</f>
        <v>0</v>
      </c>
      <c r="K235" t="str">
        <v>BR374</v>
      </c>
      <c r="L235">
        <f>COUNTIFS(fin_table[Branch Code],K235,fin_table[Risk Level],"High-Risk")</f>
        <v>0</v>
      </c>
    </row>
    <row r="236" spans="2:12" x14ac:dyDescent="0.35">
      <c r="B236" t="s">
        <v>1052</v>
      </c>
      <c r="C236">
        <f>COUNTIFS(fin_table[Branch Code],B236,fin_table[[loan Default ]], "Default")</f>
        <v>0</v>
      </c>
      <c r="D236">
        <f>COUNTIFS(fin_table[Branch Code],B236,fin_table[[loan Default ]], "Default")</f>
        <v>0</v>
      </c>
      <c r="K236" t="str">
        <v>BR608</v>
      </c>
      <c r="L236">
        <f>COUNTIFS(fin_table[Branch Code],K236,fin_table[Risk Level],"High-Risk")</f>
        <v>0</v>
      </c>
    </row>
    <row r="237" spans="2:12" x14ac:dyDescent="0.35">
      <c r="B237" t="s">
        <v>1056</v>
      </c>
      <c r="C237">
        <f>COUNTIFS(fin_table[Branch Code],B237,fin_table[[loan Default ]], "Default")</f>
        <v>1</v>
      </c>
      <c r="D237">
        <f>COUNTIFS(fin_table[Branch Code],B237,fin_table[[loan Default ]], "Default")</f>
        <v>1</v>
      </c>
      <c r="K237" t="str">
        <v>BR278</v>
      </c>
      <c r="L237">
        <f>COUNTIFS(fin_table[Branch Code],K237,fin_table[Risk Level],"High-Risk")</f>
        <v>0</v>
      </c>
    </row>
    <row r="238" spans="2:12" x14ac:dyDescent="0.35">
      <c r="B238" t="s">
        <v>1066</v>
      </c>
      <c r="C238">
        <f>COUNTIFS(fin_table[Branch Code],B238,fin_table[[loan Default ]], "Default")</f>
        <v>1</v>
      </c>
      <c r="D238">
        <f>COUNTIFS(fin_table[Branch Code],B238,fin_table[[loan Default ]], "Default")</f>
        <v>1</v>
      </c>
      <c r="K238" t="str">
        <v>BR930</v>
      </c>
      <c r="L238">
        <f>COUNTIFS(fin_table[Branch Code],K238,fin_table[Risk Level],"High-Risk")</f>
        <v>0</v>
      </c>
    </row>
    <row r="239" spans="2:12" x14ac:dyDescent="0.35">
      <c r="B239" t="s">
        <v>1070</v>
      </c>
      <c r="C239">
        <f>COUNTIFS(fin_table[Branch Code],B239,fin_table[[loan Default ]], "Default")</f>
        <v>0</v>
      </c>
      <c r="D239">
        <f>COUNTIFS(fin_table[Branch Code],B239,fin_table[[loan Default ]], "Default")</f>
        <v>0</v>
      </c>
      <c r="K239" t="str">
        <v>BR576</v>
      </c>
      <c r="L239">
        <f>COUNTIFS(fin_table[Branch Code],K239,fin_table[Risk Level],"High-Risk")</f>
        <v>0</v>
      </c>
    </row>
    <row r="240" spans="2:12" x14ac:dyDescent="0.35">
      <c r="B240" t="s">
        <v>1074</v>
      </c>
      <c r="C240">
        <f>COUNTIFS(fin_table[Branch Code],B240,fin_table[[loan Default ]], "Default")</f>
        <v>0</v>
      </c>
      <c r="D240">
        <f>COUNTIFS(fin_table[Branch Code],B240,fin_table[[loan Default ]], "Default")</f>
        <v>0</v>
      </c>
      <c r="K240" t="str">
        <v>BR942</v>
      </c>
      <c r="L240">
        <f>COUNTIFS(fin_table[Branch Code],K240,fin_table[Risk Level],"High-Risk")</f>
        <v>0</v>
      </c>
    </row>
    <row r="241" spans="2:12" x14ac:dyDescent="0.35">
      <c r="B241" t="s">
        <v>1078</v>
      </c>
      <c r="C241">
        <f>COUNTIFS(fin_table[Branch Code],B241,fin_table[[loan Default ]], "Default")</f>
        <v>1</v>
      </c>
      <c r="D241">
        <f>COUNTIFS(fin_table[Branch Code],B241,fin_table[[loan Default ]], "Default")</f>
        <v>1</v>
      </c>
      <c r="K241" t="str">
        <v>BR513</v>
      </c>
      <c r="L241">
        <f>COUNTIFS(fin_table[Branch Code],K241,fin_table[Risk Level],"High-Risk")</f>
        <v>0</v>
      </c>
    </row>
    <row r="242" spans="2:12" x14ac:dyDescent="0.35">
      <c r="B242" t="s">
        <v>1082</v>
      </c>
      <c r="C242">
        <f>COUNTIFS(fin_table[Branch Code],B242,fin_table[[loan Default ]], "Default")</f>
        <v>0</v>
      </c>
      <c r="D242">
        <f>COUNTIFS(fin_table[Branch Code],B242,fin_table[[loan Default ]], "Default")</f>
        <v>0</v>
      </c>
      <c r="K242" t="str">
        <v>BR252</v>
      </c>
      <c r="L242">
        <f>COUNTIFS(fin_table[Branch Code],K242,fin_table[Risk Level],"High-Risk")</f>
        <v>0</v>
      </c>
    </row>
    <row r="243" spans="2:12" x14ac:dyDescent="0.35">
      <c r="B243" t="s">
        <v>1089</v>
      </c>
      <c r="C243">
        <f>COUNTIFS(fin_table[Branch Code],B243,fin_table[[loan Default ]], "Default")</f>
        <v>0</v>
      </c>
      <c r="D243">
        <f>COUNTIFS(fin_table[Branch Code],B243,fin_table[[loan Default ]], "Default")</f>
        <v>0</v>
      </c>
      <c r="K243" t="str">
        <v>BR174</v>
      </c>
      <c r="L243">
        <f>COUNTIFS(fin_table[Branch Code],K243,fin_table[Risk Level],"High-Risk")</f>
        <v>0</v>
      </c>
    </row>
    <row r="244" spans="2:12" x14ac:dyDescent="0.35">
      <c r="B244" t="s">
        <v>1093</v>
      </c>
      <c r="C244">
        <f>COUNTIFS(fin_table[Branch Code],B244,fin_table[[loan Default ]], "Default")</f>
        <v>0</v>
      </c>
      <c r="D244">
        <f>COUNTIFS(fin_table[Branch Code],B244,fin_table[[loan Default ]], "Default")</f>
        <v>0</v>
      </c>
      <c r="K244" t="str">
        <v>BR227</v>
      </c>
      <c r="L244">
        <f>COUNTIFS(fin_table[Branch Code],K244,fin_table[Risk Level],"High-Risk")</f>
        <v>1</v>
      </c>
    </row>
    <row r="245" spans="2:12" x14ac:dyDescent="0.35">
      <c r="B245" t="s">
        <v>1097</v>
      </c>
      <c r="C245">
        <f>COUNTIFS(fin_table[Branch Code],B245,fin_table[[loan Default ]], "Default")</f>
        <v>0</v>
      </c>
      <c r="D245">
        <f>COUNTIFS(fin_table[Branch Code],B245,fin_table[[loan Default ]], "Default")</f>
        <v>0</v>
      </c>
      <c r="K245" t="str">
        <v>BR810</v>
      </c>
      <c r="L245">
        <f>COUNTIFS(fin_table[Branch Code],K245,fin_table[Risk Level],"High-Risk")</f>
        <v>0</v>
      </c>
    </row>
    <row r="246" spans="2:12" x14ac:dyDescent="0.35">
      <c r="B246" t="s">
        <v>1106</v>
      </c>
      <c r="C246">
        <f>COUNTIFS(fin_table[Branch Code],B246,fin_table[[loan Default ]], "Default")</f>
        <v>1</v>
      </c>
      <c r="D246">
        <f>COUNTIFS(fin_table[Branch Code],B246,fin_table[[loan Default ]], "Default")</f>
        <v>1</v>
      </c>
      <c r="K246" t="str">
        <v>BR889</v>
      </c>
      <c r="L246">
        <f>COUNTIFS(fin_table[Branch Code],K246,fin_table[Risk Level],"High-Risk")</f>
        <v>0</v>
      </c>
    </row>
    <row r="247" spans="2:12" x14ac:dyDescent="0.35">
      <c r="B247" t="s">
        <v>1110</v>
      </c>
      <c r="C247">
        <f>COUNTIFS(fin_table[Branch Code],B247,fin_table[[loan Default ]], "Default")</f>
        <v>0</v>
      </c>
      <c r="D247">
        <f>COUNTIFS(fin_table[Branch Code],B247,fin_table[[loan Default ]], "Default")</f>
        <v>0</v>
      </c>
      <c r="K247" t="str">
        <v>BR444</v>
      </c>
      <c r="L247">
        <f>COUNTIFS(fin_table[Branch Code],K247,fin_table[Risk Level],"High-Risk")</f>
        <v>0</v>
      </c>
    </row>
    <row r="248" spans="2:12" x14ac:dyDescent="0.35">
      <c r="B248" t="s">
        <v>1114</v>
      </c>
      <c r="C248">
        <f>COUNTIFS(fin_table[Branch Code],B248,fin_table[[loan Default ]], "Default")</f>
        <v>1</v>
      </c>
      <c r="D248">
        <f>COUNTIFS(fin_table[Branch Code],B248,fin_table[[loan Default ]], "Default")</f>
        <v>1</v>
      </c>
      <c r="K248" t="str">
        <v>BR630</v>
      </c>
      <c r="L248">
        <f>COUNTIFS(fin_table[Branch Code],K248,fin_table[Risk Level],"High-Risk")</f>
        <v>0</v>
      </c>
    </row>
    <row r="249" spans="2:12" x14ac:dyDescent="0.35">
      <c r="B249" t="s">
        <v>1117</v>
      </c>
      <c r="C249">
        <f>COUNTIFS(fin_table[Branch Code],B249,fin_table[[loan Default ]], "Default")</f>
        <v>0</v>
      </c>
      <c r="D249">
        <f>COUNTIFS(fin_table[Branch Code],B249,fin_table[[loan Default ]], "Default")</f>
        <v>0</v>
      </c>
      <c r="K249" t="str">
        <v>BR258</v>
      </c>
      <c r="L249">
        <f>COUNTIFS(fin_table[Branch Code],K249,fin_table[Risk Level],"High-Risk")</f>
        <v>0</v>
      </c>
    </row>
    <row r="250" spans="2:12" x14ac:dyDescent="0.35">
      <c r="B250" t="s">
        <v>1121</v>
      </c>
      <c r="C250">
        <f>COUNTIFS(fin_table[Branch Code],B250,fin_table[[loan Default ]], "Default")</f>
        <v>1</v>
      </c>
      <c r="D250">
        <f>COUNTIFS(fin_table[Branch Code],B250,fin_table[[loan Default ]], "Default")</f>
        <v>1</v>
      </c>
      <c r="K250" t="str">
        <v>BR637</v>
      </c>
      <c r="L250">
        <f>COUNTIFS(fin_table[Branch Code],K250,fin_table[Risk Level],"High-Risk")</f>
        <v>0</v>
      </c>
    </row>
    <row r="251" spans="2:12" x14ac:dyDescent="0.35">
      <c r="B251" t="s">
        <v>1128</v>
      </c>
      <c r="C251">
        <f>COUNTIFS(fin_table[Branch Code],B251,fin_table[[loan Default ]], "Default")</f>
        <v>0</v>
      </c>
      <c r="D251">
        <f>COUNTIFS(fin_table[Branch Code],B251,fin_table[[loan Default ]], "Default")</f>
        <v>0</v>
      </c>
      <c r="K251" t="str">
        <v>BR780</v>
      </c>
      <c r="L251">
        <f>COUNTIFS(fin_table[Branch Code],K251,fin_table[Risk Level],"High-Risk")</f>
        <v>0</v>
      </c>
    </row>
    <row r="252" spans="2:12" x14ac:dyDescent="0.35">
      <c r="B252" t="s">
        <v>1132</v>
      </c>
      <c r="C252">
        <f>COUNTIFS(fin_table[Branch Code],B252,fin_table[[loan Default ]], "Default")</f>
        <v>1</v>
      </c>
      <c r="D252">
        <f>COUNTIFS(fin_table[Branch Code],B252,fin_table[[loan Default ]], "Default")</f>
        <v>1</v>
      </c>
      <c r="K252" t="str">
        <v>BR122</v>
      </c>
      <c r="L252">
        <f>COUNTIFS(fin_table[Branch Code],K252,fin_table[Risk Level],"High-Risk")</f>
        <v>1</v>
      </c>
    </row>
    <row r="253" spans="2:12" x14ac:dyDescent="0.35">
      <c r="B253" t="s">
        <v>1136</v>
      </c>
      <c r="C253">
        <f>COUNTIFS(fin_table[Branch Code],B253,fin_table[[loan Default ]], "Default")</f>
        <v>0</v>
      </c>
      <c r="D253">
        <f>COUNTIFS(fin_table[Branch Code],B253,fin_table[[loan Default ]], "Default")</f>
        <v>0</v>
      </c>
      <c r="K253" t="str">
        <v>BR146</v>
      </c>
      <c r="L253">
        <f>COUNTIFS(fin_table[Branch Code],K253,fin_table[Risk Level],"High-Risk")</f>
        <v>1</v>
      </c>
    </row>
    <row r="254" spans="2:12" x14ac:dyDescent="0.35">
      <c r="B254" t="s">
        <v>1140</v>
      </c>
      <c r="C254">
        <f>COUNTIFS(fin_table[Branch Code],B254,fin_table[[loan Default ]], "Default")</f>
        <v>0</v>
      </c>
      <c r="D254">
        <f>COUNTIFS(fin_table[Branch Code],B254,fin_table[[loan Default ]], "Default")</f>
        <v>0</v>
      </c>
      <c r="K254" t="str">
        <v>BR624</v>
      </c>
      <c r="L254">
        <f>COUNTIFS(fin_table[Branch Code],K254,fin_table[Risk Level],"High-Risk")</f>
        <v>0</v>
      </c>
    </row>
    <row r="255" spans="2:12" x14ac:dyDescent="0.35">
      <c r="B255" t="s">
        <v>1143</v>
      </c>
      <c r="C255">
        <f>COUNTIFS(fin_table[Branch Code],B255,fin_table[[loan Default ]], "Default")</f>
        <v>0</v>
      </c>
      <c r="D255">
        <f>COUNTIFS(fin_table[Branch Code],B255,fin_table[[loan Default ]], "Default")</f>
        <v>0</v>
      </c>
      <c r="K255" t="str">
        <v>BR828</v>
      </c>
      <c r="L255">
        <f>COUNTIFS(fin_table[Branch Code],K255,fin_table[Risk Level],"High-Risk")</f>
        <v>0</v>
      </c>
    </row>
    <row r="256" spans="2:12" x14ac:dyDescent="0.35">
      <c r="B256" t="s">
        <v>1147</v>
      </c>
      <c r="C256">
        <f>COUNTIFS(fin_table[Branch Code],B256,fin_table[[loan Default ]], "Default")</f>
        <v>0</v>
      </c>
      <c r="D256">
        <f>COUNTIFS(fin_table[Branch Code],B256,fin_table[[loan Default ]], "Default")</f>
        <v>0</v>
      </c>
      <c r="K256" t="str">
        <v>BR933</v>
      </c>
      <c r="L256">
        <f>COUNTIFS(fin_table[Branch Code],K256,fin_table[Risk Level],"High-Risk")</f>
        <v>0</v>
      </c>
    </row>
    <row r="257" spans="2:12" x14ac:dyDescent="0.35">
      <c r="B257" t="s">
        <v>1154</v>
      </c>
      <c r="C257">
        <f>COUNTIFS(fin_table[Branch Code],B257,fin_table[[loan Default ]], "Default")</f>
        <v>0</v>
      </c>
      <c r="D257">
        <f>COUNTIFS(fin_table[Branch Code],B257,fin_table[[loan Default ]], "Default")</f>
        <v>0</v>
      </c>
      <c r="K257" t="str">
        <v>BR243</v>
      </c>
      <c r="L257">
        <f>COUNTIFS(fin_table[Branch Code],K257,fin_table[Risk Level],"High-Risk")</f>
        <v>1</v>
      </c>
    </row>
    <row r="258" spans="2:12" x14ac:dyDescent="0.35">
      <c r="B258" t="s">
        <v>1161</v>
      </c>
      <c r="C258">
        <f>COUNTIFS(fin_table[Branch Code],B258,fin_table[[loan Default ]], "Default")</f>
        <v>0</v>
      </c>
      <c r="D258">
        <f>COUNTIFS(fin_table[Branch Code],B258,fin_table[[loan Default ]], "Default")</f>
        <v>0</v>
      </c>
      <c r="K258" t="str">
        <v>BR767</v>
      </c>
      <c r="L258">
        <f>COUNTIFS(fin_table[Branch Code],K258,fin_table[Risk Level],"High-Risk")</f>
        <v>0</v>
      </c>
    </row>
    <row r="259" spans="2:12" x14ac:dyDescent="0.35">
      <c r="B259" t="s">
        <v>1168</v>
      </c>
      <c r="C259">
        <f>COUNTIFS(fin_table[Branch Code],B259,fin_table[[loan Default ]], "Default")</f>
        <v>1</v>
      </c>
      <c r="D259">
        <f>COUNTIFS(fin_table[Branch Code],B259,fin_table[[loan Default ]], "Default")</f>
        <v>1</v>
      </c>
      <c r="K259" t="str">
        <v>BR518</v>
      </c>
      <c r="L259">
        <f>COUNTIFS(fin_table[Branch Code],K259,fin_table[Risk Level],"High-Risk")</f>
        <v>1</v>
      </c>
    </row>
    <row r="260" spans="2:12" x14ac:dyDescent="0.35">
      <c r="B260" t="s">
        <v>1178</v>
      </c>
      <c r="C260">
        <f>COUNTIFS(fin_table[Branch Code],B260,fin_table[[loan Default ]], "Default")</f>
        <v>0</v>
      </c>
      <c r="D260">
        <f>COUNTIFS(fin_table[Branch Code],B260,fin_table[[loan Default ]], "Default")</f>
        <v>0</v>
      </c>
      <c r="K260" t="str">
        <v>BR184</v>
      </c>
      <c r="L260">
        <f>COUNTIFS(fin_table[Branch Code],K260,fin_table[Risk Level],"High-Risk")</f>
        <v>0</v>
      </c>
    </row>
    <row r="261" spans="2:12" x14ac:dyDescent="0.35">
      <c r="B261" t="s">
        <v>1182</v>
      </c>
      <c r="C261">
        <f>COUNTIFS(fin_table[Branch Code],B261,fin_table[[loan Default ]], "Default")</f>
        <v>1</v>
      </c>
      <c r="D261">
        <f>COUNTIFS(fin_table[Branch Code],B261,fin_table[[loan Default ]], "Default")</f>
        <v>1</v>
      </c>
      <c r="K261" t="str">
        <v>BR515</v>
      </c>
      <c r="L261">
        <f>COUNTIFS(fin_table[Branch Code],K261,fin_table[Risk Level],"High-Risk")</f>
        <v>0</v>
      </c>
    </row>
    <row r="262" spans="2:12" x14ac:dyDescent="0.35">
      <c r="B262" t="s">
        <v>1189</v>
      </c>
      <c r="C262">
        <f>COUNTIFS(fin_table[Branch Code],B262,fin_table[[loan Default ]], "Default")</f>
        <v>2</v>
      </c>
      <c r="D262">
        <f>COUNTIFS(fin_table[Branch Code],B262,fin_table[[loan Default ]], "Default")</f>
        <v>2</v>
      </c>
      <c r="K262" t="str">
        <v>BR581</v>
      </c>
      <c r="L262">
        <f>COUNTIFS(fin_table[Branch Code],K262,fin_table[Risk Level],"High-Risk")</f>
        <v>1</v>
      </c>
    </row>
    <row r="263" spans="2:12" x14ac:dyDescent="0.35">
      <c r="B263" t="s">
        <v>1193</v>
      </c>
      <c r="C263">
        <f>COUNTIFS(fin_table[Branch Code],B263,fin_table[[loan Default ]], "Default")</f>
        <v>0</v>
      </c>
      <c r="D263">
        <f>COUNTIFS(fin_table[Branch Code],B263,fin_table[[loan Default ]], "Default")</f>
        <v>0</v>
      </c>
      <c r="K263" t="str">
        <v>BR555</v>
      </c>
      <c r="L263">
        <f>COUNTIFS(fin_table[Branch Code],K263,fin_table[Risk Level],"High-Risk")</f>
        <v>0</v>
      </c>
    </row>
    <row r="264" spans="2:12" x14ac:dyDescent="0.35">
      <c r="B264" t="s">
        <v>1197</v>
      </c>
      <c r="C264">
        <f>COUNTIFS(fin_table[Branch Code],B264,fin_table[[loan Default ]], "Default")</f>
        <v>1</v>
      </c>
      <c r="D264">
        <f>COUNTIFS(fin_table[Branch Code],B264,fin_table[[loan Default ]], "Default")</f>
        <v>1</v>
      </c>
      <c r="K264" t="str">
        <v>BR926</v>
      </c>
      <c r="L264">
        <f>COUNTIFS(fin_table[Branch Code],K264,fin_table[Risk Level],"High-Risk")</f>
        <v>1</v>
      </c>
    </row>
    <row r="265" spans="2:12" x14ac:dyDescent="0.35">
      <c r="B265" t="s">
        <v>1201</v>
      </c>
      <c r="C265">
        <f>COUNTIFS(fin_table[Branch Code],B265,fin_table[[loan Default ]], "Default")</f>
        <v>0</v>
      </c>
      <c r="D265">
        <f>COUNTIFS(fin_table[Branch Code],B265,fin_table[[loan Default ]], "Default")</f>
        <v>0</v>
      </c>
      <c r="K265" t="str">
        <v>BR396</v>
      </c>
      <c r="L265">
        <f>COUNTIFS(fin_table[Branch Code],K265,fin_table[Risk Level],"High-Risk")</f>
        <v>1</v>
      </c>
    </row>
    <row r="266" spans="2:12" x14ac:dyDescent="0.35">
      <c r="B266" t="s">
        <v>1205</v>
      </c>
      <c r="C266">
        <f>COUNTIFS(fin_table[Branch Code],B266,fin_table[[loan Default ]], "Default")</f>
        <v>0</v>
      </c>
      <c r="D266">
        <f>COUNTIFS(fin_table[Branch Code],B266,fin_table[[loan Default ]], "Default")</f>
        <v>0</v>
      </c>
      <c r="K266" t="str">
        <v>BR211</v>
      </c>
      <c r="L266">
        <f>COUNTIFS(fin_table[Branch Code],K266,fin_table[Risk Level],"High-Risk")</f>
        <v>0</v>
      </c>
    </row>
    <row r="267" spans="2:12" x14ac:dyDescent="0.35">
      <c r="B267" t="s">
        <v>1209</v>
      </c>
      <c r="C267">
        <f>COUNTIFS(fin_table[Branch Code],B267,fin_table[[loan Default ]], "Default")</f>
        <v>1</v>
      </c>
      <c r="D267">
        <f>COUNTIFS(fin_table[Branch Code],B267,fin_table[[loan Default ]], "Default")</f>
        <v>1</v>
      </c>
      <c r="K267" t="str">
        <v>BR329</v>
      </c>
      <c r="L267">
        <f>COUNTIFS(fin_table[Branch Code],K267,fin_table[Risk Level],"High-Risk")</f>
        <v>0</v>
      </c>
    </row>
    <row r="268" spans="2:12" x14ac:dyDescent="0.35">
      <c r="B268" t="s">
        <v>1213</v>
      </c>
      <c r="C268">
        <f>COUNTIFS(fin_table[Branch Code],B268,fin_table[[loan Default ]], "Default")</f>
        <v>1</v>
      </c>
      <c r="D268">
        <f>COUNTIFS(fin_table[Branch Code],B268,fin_table[[loan Default ]], "Default")</f>
        <v>1</v>
      </c>
      <c r="K268" t="str">
        <v>BR195</v>
      </c>
      <c r="L268">
        <f>COUNTIFS(fin_table[Branch Code],K268,fin_table[Risk Level],"High-Risk")</f>
        <v>0</v>
      </c>
    </row>
    <row r="269" spans="2:12" x14ac:dyDescent="0.35">
      <c r="B269" t="s">
        <v>1217</v>
      </c>
      <c r="C269">
        <f>COUNTIFS(fin_table[Branch Code],B269,fin_table[[loan Default ]], "Default")</f>
        <v>1</v>
      </c>
      <c r="D269">
        <f>COUNTIFS(fin_table[Branch Code],B269,fin_table[[loan Default ]], "Default")</f>
        <v>1</v>
      </c>
      <c r="K269" t="str">
        <v>BR779</v>
      </c>
      <c r="L269">
        <f>COUNTIFS(fin_table[Branch Code],K269,fin_table[Risk Level],"High-Risk")</f>
        <v>0</v>
      </c>
    </row>
    <row r="270" spans="2:12" x14ac:dyDescent="0.35">
      <c r="B270" t="s">
        <v>1221</v>
      </c>
      <c r="C270">
        <f>COUNTIFS(fin_table[Branch Code],B270,fin_table[[loan Default ]], "Default")</f>
        <v>0</v>
      </c>
      <c r="D270">
        <f>COUNTIFS(fin_table[Branch Code],B270,fin_table[[loan Default ]], "Default")</f>
        <v>0</v>
      </c>
      <c r="K270" t="str">
        <v>BR477</v>
      </c>
      <c r="L270">
        <f>COUNTIFS(fin_table[Branch Code],K270,fin_table[Risk Level],"High-Risk")</f>
        <v>0</v>
      </c>
    </row>
    <row r="271" spans="2:12" x14ac:dyDescent="0.35">
      <c r="B271" t="s">
        <v>1225</v>
      </c>
      <c r="C271">
        <f>COUNTIFS(fin_table[Branch Code],B271,fin_table[[loan Default ]], "Default")</f>
        <v>1</v>
      </c>
      <c r="D271">
        <f>COUNTIFS(fin_table[Branch Code],B271,fin_table[[loan Default ]], "Default")</f>
        <v>1</v>
      </c>
      <c r="K271" t="str">
        <v>BR255</v>
      </c>
      <c r="L271">
        <f>COUNTIFS(fin_table[Branch Code],K271,fin_table[Risk Level],"High-Risk")</f>
        <v>0</v>
      </c>
    </row>
    <row r="272" spans="2:12" x14ac:dyDescent="0.35">
      <c r="B272" t="s">
        <v>1229</v>
      </c>
      <c r="C272">
        <f>COUNTIFS(fin_table[Branch Code],B272,fin_table[[loan Default ]], "Default")</f>
        <v>0</v>
      </c>
      <c r="D272">
        <f>COUNTIFS(fin_table[Branch Code],B272,fin_table[[loan Default ]], "Default")</f>
        <v>0</v>
      </c>
      <c r="K272" t="str">
        <v>BR520</v>
      </c>
      <c r="L272">
        <f>COUNTIFS(fin_table[Branch Code],K272,fin_table[Risk Level],"High-Risk")</f>
        <v>0</v>
      </c>
    </row>
    <row r="273" spans="2:12" x14ac:dyDescent="0.35">
      <c r="B273" t="s">
        <v>1236</v>
      </c>
      <c r="C273">
        <f>COUNTIFS(fin_table[Branch Code],B273,fin_table[[loan Default ]], "Default")</f>
        <v>1</v>
      </c>
      <c r="D273">
        <f>COUNTIFS(fin_table[Branch Code],B273,fin_table[[loan Default ]], "Default")</f>
        <v>1</v>
      </c>
      <c r="K273" t="str">
        <v>BR804</v>
      </c>
      <c r="L273">
        <f>COUNTIFS(fin_table[Branch Code],K273,fin_table[Risk Level],"High-Risk")</f>
        <v>0</v>
      </c>
    </row>
    <row r="274" spans="2:12" x14ac:dyDescent="0.35">
      <c r="B274" t="s">
        <v>1243</v>
      </c>
      <c r="C274">
        <f>COUNTIFS(fin_table[Branch Code],B274,fin_table[[loan Default ]], "Default")</f>
        <v>0</v>
      </c>
      <c r="D274">
        <f>COUNTIFS(fin_table[Branch Code],B274,fin_table[[loan Default ]], "Default")</f>
        <v>0</v>
      </c>
      <c r="K274" t="str">
        <v>BR538</v>
      </c>
      <c r="L274">
        <f>COUNTIFS(fin_table[Branch Code],K274,fin_table[Risk Level],"High-Risk")</f>
        <v>1</v>
      </c>
    </row>
    <row r="275" spans="2:12" x14ac:dyDescent="0.35">
      <c r="B275" t="s">
        <v>1250</v>
      </c>
      <c r="C275">
        <f>COUNTIFS(fin_table[Branch Code],B275,fin_table[[loan Default ]], "Default")</f>
        <v>1</v>
      </c>
      <c r="D275">
        <f>COUNTIFS(fin_table[Branch Code],B275,fin_table[[loan Default ]], "Default")</f>
        <v>1</v>
      </c>
      <c r="K275" t="str">
        <v>BR966</v>
      </c>
      <c r="L275">
        <f>COUNTIFS(fin_table[Branch Code],K275,fin_table[Risk Level],"High-Risk")</f>
        <v>0</v>
      </c>
    </row>
    <row r="276" spans="2:12" x14ac:dyDescent="0.35">
      <c r="B276" t="s">
        <v>1254</v>
      </c>
      <c r="C276">
        <f>COUNTIFS(fin_table[Branch Code],B276,fin_table[[loan Default ]], "Default")</f>
        <v>0</v>
      </c>
      <c r="D276">
        <f>COUNTIFS(fin_table[Branch Code],B276,fin_table[[loan Default ]], "Default")</f>
        <v>0</v>
      </c>
      <c r="K276" t="str">
        <v>BR481</v>
      </c>
      <c r="L276">
        <f>COUNTIFS(fin_table[Branch Code],K276,fin_table[Risk Level],"High-Risk")</f>
        <v>2</v>
      </c>
    </row>
    <row r="277" spans="2:12" x14ac:dyDescent="0.35">
      <c r="B277" t="s">
        <v>1264</v>
      </c>
      <c r="C277">
        <f>COUNTIFS(fin_table[Branch Code],B277,fin_table[[loan Default ]], "Default")</f>
        <v>0</v>
      </c>
      <c r="D277">
        <f>COUNTIFS(fin_table[Branch Code],B277,fin_table[[loan Default ]], "Default")</f>
        <v>0</v>
      </c>
      <c r="K277" t="str">
        <v>BR369</v>
      </c>
      <c r="L277">
        <f>COUNTIFS(fin_table[Branch Code],K277,fin_table[Risk Level],"High-Risk")</f>
        <v>0</v>
      </c>
    </row>
    <row r="278" spans="2:12" x14ac:dyDescent="0.35">
      <c r="B278" t="s">
        <v>1268</v>
      </c>
      <c r="C278">
        <f>COUNTIFS(fin_table[Branch Code],B278,fin_table[[loan Default ]], "Default")</f>
        <v>3</v>
      </c>
      <c r="D278">
        <f>COUNTIFS(fin_table[Branch Code],B278,fin_table[[loan Default ]], "Default")</f>
        <v>3</v>
      </c>
      <c r="K278" t="str">
        <v>BR649</v>
      </c>
      <c r="L278">
        <f>COUNTIFS(fin_table[Branch Code],K278,fin_table[Risk Level],"High-Risk")</f>
        <v>0</v>
      </c>
    </row>
    <row r="279" spans="2:12" x14ac:dyDescent="0.35">
      <c r="B279" t="s">
        <v>1272</v>
      </c>
      <c r="C279">
        <f>COUNTIFS(fin_table[Branch Code],B279,fin_table[[loan Default ]], "Default")</f>
        <v>0</v>
      </c>
      <c r="D279">
        <f>COUNTIFS(fin_table[Branch Code],B279,fin_table[[loan Default ]], "Default")</f>
        <v>0</v>
      </c>
      <c r="K279" t="str">
        <v>BR495</v>
      </c>
      <c r="L279">
        <f>COUNTIFS(fin_table[Branch Code],K279,fin_table[Risk Level],"High-Risk")</f>
        <v>0</v>
      </c>
    </row>
    <row r="280" spans="2:12" x14ac:dyDescent="0.35">
      <c r="B280" t="s">
        <v>1282</v>
      </c>
      <c r="C280">
        <f>COUNTIFS(fin_table[Branch Code],B280,fin_table[[loan Default ]], "Default")</f>
        <v>0</v>
      </c>
      <c r="D280">
        <f>COUNTIFS(fin_table[Branch Code],B280,fin_table[[loan Default ]], "Default")</f>
        <v>0</v>
      </c>
      <c r="K280" t="str">
        <v>BR774</v>
      </c>
      <c r="L280">
        <f>COUNTIFS(fin_table[Branch Code],K280,fin_table[Risk Level],"High-Risk")</f>
        <v>0</v>
      </c>
    </row>
    <row r="281" spans="2:12" x14ac:dyDescent="0.35">
      <c r="B281" t="s">
        <v>1286</v>
      </c>
      <c r="C281">
        <f>COUNTIFS(fin_table[Branch Code],B281,fin_table[[loan Default ]], "Default")</f>
        <v>1</v>
      </c>
      <c r="D281">
        <f>COUNTIFS(fin_table[Branch Code],B281,fin_table[[loan Default ]], "Default")</f>
        <v>1</v>
      </c>
      <c r="K281" t="str">
        <v>BR549</v>
      </c>
      <c r="L281">
        <f>COUNTIFS(fin_table[Branch Code],K281,fin_table[Risk Level],"High-Risk")</f>
        <v>0</v>
      </c>
    </row>
    <row r="282" spans="2:12" x14ac:dyDescent="0.35">
      <c r="B282" t="s">
        <v>1290</v>
      </c>
      <c r="C282">
        <f>COUNTIFS(fin_table[Branch Code],B282,fin_table[[loan Default ]], "Default")</f>
        <v>0</v>
      </c>
      <c r="D282">
        <f>COUNTIFS(fin_table[Branch Code],B282,fin_table[[loan Default ]], "Default")</f>
        <v>0</v>
      </c>
      <c r="K282" t="str">
        <v>BR430</v>
      </c>
      <c r="L282">
        <f>COUNTIFS(fin_table[Branch Code],K282,fin_table[Risk Level],"High-Risk")</f>
        <v>0</v>
      </c>
    </row>
    <row r="283" spans="2:12" x14ac:dyDescent="0.35">
      <c r="B283" t="s">
        <v>1294</v>
      </c>
      <c r="C283">
        <f>COUNTIFS(fin_table[Branch Code],B283,fin_table[[loan Default ]], "Default")</f>
        <v>1</v>
      </c>
      <c r="D283">
        <f>COUNTIFS(fin_table[Branch Code],B283,fin_table[[loan Default ]], "Default")</f>
        <v>1</v>
      </c>
      <c r="K283" t="str">
        <v>BR352</v>
      </c>
      <c r="L283">
        <f>COUNTIFS(fin_table[Branch Code],K283,fin_table[Risk Level],"High-Risk")</f>
        <v>0</v>
      </c>
    </row>
    <row r="284" spans="2:12" x14ac:dyDescent="0.35">
      <c r="B284" t="s">
        <v>1301</v>
      </c>
      <c r="C284">
        <f>COUNTIFS(fin_table[Branch Code],B284,fin_table[[loan Default ]], "Default")</f>
        <v>0</v>
      </c>
      <c r="D284">
        <f>COUNTIFS(fin_table[Branch Code],B284,fin_table[[loan Default ]], "Default")</f>
        <v>0</v>
      </c>
      <c r="K284" t="str">
        <v>BR384</v>
      </c>
      <c r="L284">
        <f>COUNTIFS(fin_table[Branch Code],K284,fin_table[Risk Level],"High-Risk")</f>
        <v>0</v>
      </c>
    </row>
    <row r="285" spans="2:12" x14ac:dyDescent="0.35">
      <c r="B285" t="s">
        <v>1305</v>
      </c>
      <c r="C285">
        <f>COUNTIFS(fin_table[Branch Code],B285,fin_table[[loan Default ]], "Default")</f>
        <v>1</v>
      </c>
      <c r="D285">
        <f>COUNTIFS(fin_table[Branch Code],B285,fin_table[[loan Default ]], "Default")</f>
        <v>1</v>
      </c>
      <c r="K285" t="str">
        <v>BR373</v>
      </c>
      <c r="L285">
        <f>COUNTIFS(fin_table[Branch Code],K285,fin_table[Risk Level],"High-Risk")</f>
        <v>1</v>
      </c>
    </row>
    <row r="286" spans="2:12" x14ac:dyDescent="0.35">
      <c r="B286" t="s">
        <v>1318</v>
      </c>
      <c r="C286">
        <f>COUNTIFS(fin_table[Branch Code],B286,fin_table[[loan Default ]], "Default")</f>
        <v>0</v>
      </c>
      <c r="D286">
        <f>COUNTIFS(fin_table[Branch Code],B286,fin_table[[loan Default ]], "Default")</f>
        <v>0</v>
      </c>
      <c r="K286" t="str">
        <v>BR517</v>
      </c>
      <c r="L286">
        <f>COUNTIFS(fin_table[Branch Code],K286,fin_table[Risk Level],"High-Risk")</f>
        <v>1</v>
      </c>
    </row>
    <row r="287" spans="2:12" x14ac:dyDescent="0.35">
      <c r="B287" t="s">
        <v>1322</v>
      </c>
      <c r="C287">
        <f>COUNTIFS(fin_table[Branch Code],B287,fin_table[[loan Default ]], "Default")</f>
        <v>0</v>
      </c>
      <c r="D287">
        <f>COUNTIFS(fin_table[Branch Code],B287,fin_table[[loan Default ]], "Default")</f>
        <v>0</v>
      </c>
      <c r="K287" t="str">
        <v>BR409</v>
      </c>
      <c r="L287">
        <f>COUNTIFS(fin_table[Branch Code],K287,fin_table[Risk Level],"High-Risk")</f>
        <v>1</v>
      </c>
    </row>
    <row r="288" spans="2:12" x14ac:dyDescent="0.35">
      <c r="B288" t="s">
        <v>1326</v>
      </c>
      <c r="C288">
        <f>COUNTIFS(fin_table[Branch Code],B288,fin_table[[loan Default ]], "Default")</f>
        <v>1</v>
      </c>
      <c r="D288">
        <f>COUNTIFS(fin_table[Branch Code],B288,fin_table[[loan Default ]], "Default")</f>
        <v>1</v>
      </c>
      <c r="K288" t="str">
        <v>BR130</v>
      </c>
      <c r="L288">
        <f>COUNTIFS(fin_table[Branch Code],K288,fin_table[Risk Level],"High-Risk")</f>
        <v>0</v>
      </c>
    </row>
    <row r="289" spans="2:12" x14ac:dyDescent="0.35">
      <c r="B289" t="s">
        <v>1330</v>
      </c>
      <c r="C289">
        <f>COUNTIFS(fin_table[Branch Code],B289,fin_table[[loan Default ]], "Default")</f>
        <v>1</v>
      </c>
      <c r="D289">
        <f>COUNTIFS(fin_table[Branch Code],B289,fin_table[[loan Default ]], "Default")</f>
        <v>1</v>
      </c>
      <c r="K289" t="str">
        <v>BR925</v>
      </c>
      <c r="L289">
        <f>COUNTIFS(fin_table[Branch Code],K289,fin_table[Risk Level],"High-Risk")</f>
        <v>0</v>
      </c>
    </row>
    <row r="290" spans="2:12" x14ac:dyDescent="0.35">
      <c r="B290" t="s">
        <v>1337</v>
      </c>
      <c r="C290">
        <f>COUNTIFS(fin_table[Branch Code],B290,fin_table[[loan Default ]], "Default")</f>
        <v>0</v>
      </c>
      <c r="D290">
        <f>COUNTIFS(fin_table[Branch Code],B290,fin_table[[loan Default ]], "Default")</f>
        <v>0</v>
      </c>
      <c r="K290" t="str">
        <v>BR781</v>
      </c>
      <c r="L290">
        <f>COUNTIFS(fin_table[Branch Code],K290,fin_table[Risk Level],"High-Risk")</f>
        <v>0</v>
      </c>
    </row>
    <row r="291" spans="2:12" x14ac:dyDescent="0.35">
      <c r="B291" t="s">
        <v>1341</v>
      </c>
      <c r="C291">
        <f>COUNTIFS(fin_table[Branch Code],B291,fin_table[[loan Default ]], "Default")</f>
        <v>0</v>
      </c>
      <c r="D291">
        <f>COUNTIFS(fin_table[Branch Code],B291,fin_table[[loan Default ]], "Default")</f>
        <v>0</v>
      </c>
      <c r="K291" t="str">
        <v>BR285</v>
      </c>
      <c r="L291">
        <f>COUNTIFS(fin_table[Branch Code],K291,fin_table[Risk Level],"High-Risk")</f>
        <v>1</v>
      </c>
    </row>
    <row r="292" spans="2:12" x14ac:dyDescent="0.35">
      <c r="B292" t="s">
        <v>1348</v>
      </c>
      <c r="C292">
        <f>COUNTIFS(fin_table[Branch Code],B292,fin_table[[loan Default ]], "Default")</f>
        <v>2</v>
      </c>
      <c r="D292">
        <f>COUNTIFS(fin_table[Branch Code],B292,fin_table[[loan Default ]], "Default")</f>
        <v>2</v>
      </c>
      <c r="K292" t="str">
        <v>BR309</v>
      </c>
      <c r="L292">
        <f>COUNTIFS(fin_table[Branch Code],K292,fin_table[Risk Level],"High-Risk")</f>
        <v>1</v>
      </c>
    </row>
    <row r="293" spans="2:12" x14ac:dyDescent="0.35">
      <c r="B293" t="s">
        <v>1361</v>
      </c>
      <c r="C293">
        <f>COUNTIFS(fin_table[Branch Code],B293,fin_table[[loan Default ]], "Default")</f>
        <v>1</v>
      </c>
      <c r="D293">
        <f>COUNTIFS(fin_table[Branch Code],B293,fin_table[[loan Default ]], "Default")</f>
        <v>1</v>
      </c>
      <c r="K293" t="str">
        <v>BR118</v>
      </c>
      <c r="L293">
        <f>COUNTIFS(fin_table[Branch Code],K293,fin_table[Risk Level],"High-Risk")</f>
        <v>0</v>
      </c>
    </row>
    <row r="294" spans="2:12" x14ac:dyDescent="0.35">
      <c r="B294" t="s">
        <v>1365</v>
      </c>
      <c r="C294">
        <f>COUNTIFS(fin_table[Branch Code],B294,fin_table[[loan Default ]], "Default")</f>
        <v>1</v>
      </c>
      <c r="D294">
        <f>COUNTIFS(fin_table[Branch Code],B294,fin_table[[loan Default ]], "Default")</f>
        <v>1</v>
      </c>
      <c r="K294" t="str">
        <v>BR811</v>
      </c>
      <c r="L294">
        <f>COUNTIFS(fin_table[Branch Code],K294,fin_table[Risk Level],"High-Risk")</f>
        <v>1</v>
      </c>
    </row>
    <row r="295" spans="2:12" x14ac:dyDescent="0.35">
      <c r="B295" t="s">
        <v>1369</v>
      </c>
      <c r="C295">
        <f>COUNTIFS(fin_table[Branch Code],B295,fin_table[[loan Default ]], "Default")</f>
        <v>1</v>
      </c>
      <c r="D295">
        <f>COUNTIFS(fin_table[Branch Code],B295,fin_table[[loan Default ]], "Default")</f>
        <v>1</v>
      </c>
      <c r="K295" t="str">
        <v>BR831</v>
      </c>
      <c r="L295">
        <f>COUNTIFS(fin_table[Branch Code],K295,fin_table[Risk Level],"High-Risk")</f>
        <v>1</v>
      </c>
    </row>
    <row r="296" spans="2:12" x14ac:dyDescent="0.35">
      <c r="B296" t="s">
        <v>1373</v>
      </c>
      <c r="C296">
        <f>COUNTIFS(fin_table[Branch Code],B296,fin_table[[loan Default ]], "Default")</f>
        <v>0</v>
      </c>
      <c r="D296">
        <f>COUNTIFS(fin_table[Branch Code],B296,fin_table[[loan Default ]], "Default")</f>
        <v>0</v>
      </c>
      <c r="K296" t="str">
        <v>BR235</v>
      </c>
      <c r="L296">
        <f>COUNTIFS(fin_table[Branch Code],K296,fin_table[Risk Level],"High-Risk")</f>
        <v>0</v>
      </c>
    </row>
    <row r="297" spans="2:12" x14ac:dyDescent="0.35">
      <c r="B297" t="s">
        <v>1377</v>
      </c>
      <c r="C297">
        <f>COUNTIFS(fin_table[Branch Code],B297,fin_table[[loan Default ]], "Default")</f>
        <v>1</v>
      </c>
      <c r="D297">
        <f>COUNTIFS(fin_table[Branch Code],B297,fin_table[[loan Default ]], "Default")</f>
        <v>1</v>
      </c>
      <c r="K297" t="str">
        <v>BR322</v>
      </c>
      <c r="L297">
        <f>COUNTIFS(fin_table[Branch Code],K297,fin_table[Risk Level],"High-Risk")</f>
        <v>0</v>
      </c>
    </row>
    <row r="298" spans="2:12" x14ac:dyDescent="0.35">
      <c r="B298" t="s">
        <v>1381</v>
      </c>
      <c r="C298">
        <f>COUNTIFS(fin_table[Branch Code],B298,fin_table[[loan Default ]], "Default")</f>
        <v>1</v>
      </c>
      <c r="D298">
        <f>COUNTIFS(fin_table[Branch Code],B298,fin_table[[loan Default ]], "Default")</f>
        <v>1</v>
      </c>
      <c r="K298" t="str">
        <v>BR102</v>
      </c>
      <c r="L298">
        <f>COUNTIFS(fin_table[Branch Code],K298,fin_table[Risk Level],"High-Risk")</f>
        <v>0</v>
      </c>
    </row>
    <row r="299" spans="2:12" x14ac:dyDescent="0.35">
      <c r="B299" t="s">
        <v>1388</v>
      </c>
      <c r="C299">
        <f>COUNTIFS(fin_table[Branch Code],B299,fin_table[[loan Default ]], "Default")</f>
        <v>0</v>
      </c>
      <c r="D299">
        <f>COUNTIFS(fin_table[Branch Code],B299,fin_table[[loan Default ]], "Default")</f>
        <v>0</v>
      </c>
      <c r="K299" t="str">
        <v>BR953</v>
      </c>
      <c r="L299">
        <f>COUNTIFS(fin_table[Branch Code],K299,fin_table[Risk Level],"High-Risk")</f>
        <v>0</v>
      </c>
    </row>
    <row r="300" spans="2:12" x14ac:dyDescent="0.35">
      <c r="B300" t="s">
        <v>1392</v>
      </c>
      <c r="C300">
        <f>COUNTIFS(fin_table[Branch Code],B300,fin_table[[loan Default ]], "Default")</f>
        <v>1</v>
      </c>
      <c r="D300">
        <f>COUNTIFS(fin_table[Branch Code],B300,fin_table[[loan Default ]], "Default")</f>
        <v>1</v>
      </c>
      <c r="K300" t="str">
        <v>BR564</v>
      </c>
      <c r="L300">
        <f>COUNTIFS(fin_table[Branch Code],K300,fin_table[Risk Level],"High-Risk")</f>
        <v>0</v>
      </c>
    </row>
    <row r="301" spans="2:12" x14ac:dyDescent="0.35">
      <c r="B301" t="s">
        <v>1396</v>
      </c>
      <c r="C301">
        <f>COUNTIFS(fin_table[Branch Code],B301,fin_table[[loan Default ]], "Default")</f>
        <v>1</v>
      </c>
      <c r="D301">
        <f>COUNTIFS(fin_table[Branch Code],B301,fin_table[[loan Default ]], "Default")</f>
        <v>1</v>
      </c>
      <c r="K301" t="str">
        <v>BR327</v>
      </c>
      <c r="L301">
        <f>COUNTIFS(fin_table[Branch Code],K301,fin_table[Risk Level],"High-Risk")</f>
        <v>0</v>
      </c>
    </row>
    <row r="302" spans="2:12" x14ac:dyDescent="0.35">
      <c r="B302" t="s">
        <v>1399</v>
      </c>
      <c r="C302">
        <f>COUNTIFS(fin_table[Branch Code],B302,fin_table[[loan Default ]], "Default")</f>
        <v>1</v>
      </c>
      <c r="D302">
        <f>COUNTIFS(fin_table[Branch Code],B302,fin_table[[loan Default ]], "Default")</f>
        <v>1</v>
      </c>
      <c r="K302" t="str">
        <v>BR753</v>
      </c>
      <c r="L302">
        <f>COUNTIFS(fin_table[Branch Code],K302,fin_table[Risk Level],"High-Risk")</f>
        <v>0</v>
      </c>
    </row>
    <row r="303" spans="2:12" x14ac:dyDescent="0.35">
      <c r="B303" t="s">
        <v>1403</v>
      </c>
      <c r="C303">
        <f>COUNTIFS(fin_table[Branch Code],B303,fin_table[[loan Default ]], "Default")</f>
        <v>0</v>
      </c>
      <c r="D303">
        <f>COUNTIFS(fin_table[Branch Code],B303,fin_table[[loan Default ]], "Default")</f>
        <v>0</v>
      </c>
      <c r="K303" t="str">
        <v>BR598</v>
      </c>
      <c r="L303">
        <f>COUNTIFS(fin_table[Branch Code],K303,fin_table[Risk Level],"High-Risk")</f>
        <v>0</v>
      </c>
    </row>
    <row r="304" spans="2:12" x14ac:dyDescent="0.35">
      <c r="B304" t="s">
        <v>1407</v>
      </c>
      <c r="C304">
        <f>COUNTIFS(fin_table[Branch Code],B304,fin_table[[loan Default ]], "Default")</f>
        <v>0</v>
      </c>
      <c r="D304">
        <f>COUNTIFS(fin_table[Branch Code],B304,fin_table[[loan Default ]], "Default")</f>
        <v>0</v>
      </c>
      <c r="K304" t="str">
        <v>BR620</v>
      </c>
      <c r="L304">
        <f>COUNTIFS(fin_table[Branch Code],K304,fin_table[Risk Level],"High-Risk")</f>
        <v>0</v>
      </c>
    </row>
    <row r="305" spans="2:12" x14ac:dyDescent="0.35">
      <c r="B305" t="s">
        <v>1411</v>
      </c>
      <c r="C305">
        <f>COUNTIFS(fin_table[Branch Code],B305,fin_table[[loan Default ]], "Default")</f>
        <v>1</v>
      </c>
      <c r="D305">
        <f>COUNTIFS(fin_table[Branch Code],B305,fin_table[[loan Default ]], "Default")</f>
        <v>1</v>
      </c>
      <c r="K305" t="str">
        <v>BR801</v>
      </c>
      <c r="L305">
        <f>COUNTIFS(fin_table[Branch Code],K305,fin_table[Risk Level],"High-Risk")</f>
        <v>0</v>
      </c>
    </row>
    <row r="306" spans="2:12" x14ac:dyDescent="0.35">
      <c r="B306" t="s">
        <v>1418</v>
      </c>
      <c r="C306">
        <f>COUNTIFS(fin_table[Branch Code],B306,fin_table[[loan Default ]], "Default")</f>
        <v>0</v>
      </c>
      <c r="D306">
        <f>COUNTIFS(fin_table[Branch Code],B306,fin_table[[loan Default ]], "Default")</f>
        <v>0</v>
      </c>
      <c r="K306" t="str">
        <v>BR776</v>
      </c>
      <c r="L306">
        <f>COUNTIFS(fin_table[Branch Code],K306,fin_table[Risk Level],"High-Risk")</f>
        <v>0</v>
      </c>
    </row>
    <row r="307" spans="2:12" x14ac:dyDescent="0.35">
      <c r="B307" t="s">
        <v>1428</v>
      </c>
      <c r="C307">
        <f>COUNTIFS(fin_table[Branch Code],B307,fin_table[[loan Default ]], "Default")</f>
        <v>1</v>
      </c>
      <c r="D307">
        <f>COUNTIFS(fin_table[Branch Code],B307,fin_table[[loan Default ]], "Default")</f>
        <v>1</v>
      </c>
      <c r="K307" t="str">
        <v>BR390</v>
      </c>
      <c r="L307">
        <f>COUNTIFS(fin_table[Branch Code],K307,fin_table[Risk Level],"High-Risk")</f>
        <v>0</v>
      </c>
    </row>
    <row r="308" spans="2:12" x14ac:dyDescent="0.35">
      <c r="B308" t="s">
        <v>1434</v>
      </c>
      <c r="C308">
        <f>COUNTIFS(fin_table[Branch Code],B308,fin_table[[loan Default ]], "Default")</f>
        <v>0</v>
      </c>
      <c r="D308">
        <f>COUNTIFS(fin_table[Branch Code],B308,fin_table[[loan Default ]], "Default")</f>
        <v>0</v>
      </c>
      <c r="K308" t="str">
        <v>BR786</v>
      </c>
      <c r="L308">
        <f>COUNTIFS(fin_table[Branch Code],K308,fin_table[Risk Level],"High-Risk")</f>
        <v>0</v>
      </c>
    </row>
    <row r="309" spans="2:12" x14ac:dyDescent="0.35">
      <c r="B309" t="s">
        <v>1441</v>
      </c>
      <c r="C309">
        <f>COUNTIFS(fin_table[Branch Code],B309,fin_table[[loan Default ]], "Default")</f>
        <v>0</v>
      </c>
      <c r="D309">
        <f>COUNTIFS(fin_table[Branch Code],B309,fin_table[[loan Default ]], "Default")</f>
        <v>0</v>
      </c>
      <c r="K309" t="str">
        <v>BR814</v>
      </c>
      <c r="L309">
        <f>COUNTIFS(fin_table[Branch Code],K309,fin_table[Risk Level],"High-Risk")</f>
        <v>0</v>
      </c>
    </row>
    <row r="310" spans="2:12" x14ac:dyDescent="0.35">
      <c r="B310" t="s">
        <v>1445</v>
      </c>
      <c r="C310">
        <f>COUNTIFS(fin_table[Branch Code],B310,fin_table[[loan Default ]], "Default")</f>
        <v>0</v>
      </c>
      <c r="D310">
        <f>COUNTIFS(fin_table[Branch Code],B310,fin_table[[loan Default ]], "Default")</f>
        <v>0</v>
      </c>
      <c r="K310" t="str">
        <v>BR747</v>
      </c>
      <c r="L310">
        <f>COUNTIFS(fin_table[Branch Code],K310,fin_table[Risk Level],"High-Risk")</f>
        <v>0</v>
      </c>
    </row>
    <row r="311" spans="2:12" x14ac:dyDescent="0.35">
      <c r="B311" t="s">
        <v>1449</v>
      </c>
      <c r="C311">
        <f>COUNTIFS(fin_table[Branch Code],B311,fin_table[[loan Default ]], "Default")</f>
        <v>0</v>
      </c>
      <c r="D311">
        <f>COUNTIFS(fin_table[Branch Code],B311,fin_table[[loan Default ]], "Default")</f>
        <v>0</v>
      </c>
      <c r="K311" t="str">
        <v>BR103</v>
      </c>
      <c r="L311">
        <f>COUNTIFS(fin_table[Branch Code],K311,fin_table[Risk Level],"High-Risk")</f>
        <v>0</v>
      </c>
    </row>
    <row r="312" spans="2:12" x14ac:dyDescent="0.35">
      <c r="B312" t="s">
        <v>1453</v>
      </c>
      <c r="C312">
        <f>COUNTIFS(fin_table[Branch Code],B312,fin_table[[loan Default ]], "Default")</f>
        <v>1</v>
      </c>
      <c r="D312">
        <f>COUNTIFS(fin_table[Branch Code],B312,fin_table[[loan Default ]], "Default")</f>
        <v>1</v>
      </c>
      <c r="K312" t="str">
        <v>BR766</v>
      </c>
      <c r="L312">
        <f>COUNTIFS(fin_table[Branch Code],K312,fin_table[Risk Level],"High-Risk")</f>
        <v>0</v>
      </c>
    </row>
    <row r="313" spans="2:12" x14ac:dyDescent="0.35">
      <c r="B313" t="s">
        <v>1457</v>
      </c>
      <c r="C313">
        <f>COUNTIFS(fin_table[Branch Code],B313,fin_table[[loan Default ]], "Default")</f>
        <v>0</v>
      </c>
      <c r="D313">
        <f>COUNTIFS(fin_table[Branch Code],B313,fin_table[[loan Default ]], "Default")</f>
        <v>0</v>
      </c>
      <c r="K313" t="str">
        <v>BR783</v>
      </c>
      <c r="L313">
        <f>COUNTIFS(fin_table[Branch Code],K313,fin_table[Risk Level],"High-Risk")</f>
        <v>0</v>
      </c>
    </row>
    <row r="314" spans="2:12" x14ac:dyDescent="0.35">
      <c r="B314" t="s">
        <v>1461</v>
      </c>
      <c r="C314">
        <f>COUNTIFS(fin_table[Branch Code],B314,fin_table[[loan Default ]], "Default")</f>
        <v>1</v>
      </c>
      <c r="D314">
        <f>COUNTIFS(fin_table[Branch Code],B314,fin_table[[loan Default ]], "Default")</f>
        <v>1</v>
      </c>
      <c r="K314" t="str">
        <v>BR969</v>
      </c>
      <c r="L314">
        <f>COUNTIFS(fin_table[Branch Code],K314,fin_table[Risk Level],"High-Risk")</f>
        <v>0</v>
      </c>
    </row>
    <row r="315" spans="2:12" x14ac:dyDescent="0.35">
      <c r="B315" t="s">
        <v>1468</v>
      </c>
      <c r="C315">
        <f>COUNTIFS(fin_table[Branch Code],B315,fin_table[[loan Default ]], "Default")</f>
        <v>1</v>
      </c>
      <c r="D315">
        <f>COUNTIFS(fin_table[Branch Code],B315,fin_table[[loan Default ]], "Default")</f>
        <v>1</v>
      </c>
      <c r="K315" t="str">
        <v>BR193</v>
      </c>
      <c r="L315">
        <f>COUNTIFS(fin_table[Branch Code],K315,fin_table[Risk Level],"High-Risk")</f>
        <v>0</v>
      </c>
    </row>
    <row r="316" spans="2:12" x14ac:dyDescent="0.35">
      <c r="B316" t="s">
        <v>1475</v>
      </c>
      <c r="C316">
        <f>COUNTIFS(fin_table[Branch Code],B316,fin_table[[loan Default ]], "Default")</f>
        <v>1</v>
      </c>
      <c r="D316">
        <f>COUNTIFS(fin_table[Branch Code],B316,fin_table[[loan Default ]], "Default")</f>
        <v>1</v>
      </c>
      <c r="K316" t="str">
        <v>BR851</v>
      </c>
      <c r="L316">
        <f>COUNTIFS(fin_table[Branch Code],K316,fin_table[Risk Level],"High-Risk")</f>
        <v>0</v>
      </c>
    </row>
    <row r="317" spans="2:12" x14ac:dyDescent="0.35">
      <c r="B317" t="s">
        <v>1479</v>
      </c>
      <c r="C317">
        <f>COUNTIFS(fin_table[Branch Code],B317,fin_table[[loan Default ]], "Default")</f>
        <v>0</v>
      </c>
      <c r="D317">
        <f>COUNTIFS(fin_table[Branch Code],B317,fin_table[[loan Default ]], "Default")</f>
        <v>0</v>
      </c>
      <c r="K317" t="str">
        <v>BR958</v>
      </c>
      <c r="L317">
        <f>COUNTIFS(fin_table[Branch Code],K317,fin_table[Risk Level],"High-Risk")</f>
        <v>0</v>
      </c>
    </row>
    <row r="318" spans="2:12" x14ac:dyDescent="0.35">
      <c r="B318" t="s">
        <v>1483</v>
      </c>
      <c r="C318">
        <f>COUNTIFS(fin_table[Branch Code],B318,fin_table[[loan Default ]], "Default")</f>
        <v>1</v>
      </c>
      <c r="D318">
        <f>COUNTIFS(fin_table[Branch Code],B318,fin_table[[loan Default ]], "Default")</f>
        <v>1</v>
      </c>
      <c r="K318" t="str">
        <v>BR312</v>
      </c>
      <c r="L318">
        <f>COUNTIFS(fin_table[Branch Code],K318,fin_table[Risk Level],"High-Risk")</f>
        <v>0</v>
      </c>
    </row>
    <row r="319" spans="2:12" x14ac:dyDescent="0.35">
      <c r="B319" t="s">
        <v>1487</v>
      </c>
      <c r="C319">
        <f>COUNTIFS(fin_table[Branch Code],B319,fin_table[[loan Default ]], "Default")</f>
        <v>1</v>
      </c>
      <c r="D319">
        <f>COUNTIFS(fin_table[Branch Code],B319,fin_table[[loan Default ]], "Default")</f>
        <v>1</v>
      </c>
      <c r="K319" t="str">
        <v>BR535</v>
      </c>
      <c r="L319">
        <f>COUNTIFS(fin_table[Branch Code],K319,fin_table[Risk Level],"High-Risk")</f>
        <v>0</v>
      </c>
    </row>
    <row r="320" spans="2:12" x14ac:dyDescent="0.35">
      <c r="B320" t="s">
        <v>1494</v>
      </c>
      <c r="C320">
        <f>COUNTIFS(fin_table[Branch Code],B320,fin_table[[loan Default ]], "Default")</f>
        <v>0</v>
      </c>
      <c r="D320">
        <f>COUNTIFS(fin_table[Branch Code],B320,fin_table[[loan Default ]], "Default")</f>
        <v>0</v>
      </c>
      <c r="K320" t="str">
        <v>BR607</v>
      </c>
      <c r="L320">
        <f>COUNTIFS(fin_table[Branch Code],K320,fin_table[Risk Level],"High-Risk")</f>
        <v>0</v>
      </c>
    </row>
    <row r="321" spans="2:12" x14ac:dyDescent="0.35">
      <c r="B321" t="s">
        <v>1498</v>
      </c>
      <c r="C321">
        <f>COUNTIFS(fin_table[Branch Code],B321,fin_table[[loan Default ]], "Default")</f>
        <v>1</v>
      </c>
      <c r="D321">
        <f>COUNTIFS(fin_table[Branch Code],B321,fin_table[[loan Default ]], "Default")</f>
        <v>1</v>
      </c>
      <c r="K321" t="str">
        <v>BR935</v>
      </c>
      <c r="L321">
        <f>COUNTIFS(fin_table[Branch Code],K321,fin_table[Risk Level],"High-Risk")</f>
        <v>1</v>
      </c>
    </row>
    <row r="322" spans="2:12" x14ac:dyDescent="0.35">
      <c r="B322" t="s">
        <v>1505</v>
      </c>
      <c r="C322">
        <f>COUNTIFS(fin_table[Branch Code],B322,fin_table[[loan Default ]], "Default")</f>
        <v>2</v>
      </c>
      <c r="D322">
        <f>COUNTIFS(fin_table[Branch Code],B322,fin_table[[loan Default ]], "Default")</f>
        <v>2</v>
      </c>
      <c r="K322" t="str">
        <v>BR304</v>
      </c>
      <c r="L322">
        <f>COUNTIFS(fin_table[Branch Code],K322,fin_table[Risk Level],"High-Risk")</f>
        <v>0</v>
      </c>
    </row>
    <row r="323" spans="2:12" x14ac:dyDescent="0.35">
      <c r="B323" t="s">
        <v>1512</v>
      </c>
      <c r="C323">
        <f>COUNTIFS(fin_table[Branch Code],B323,fin_table[[loan Default ]], "Default")</f>
        <v>1</v>
      </c>
      <c r="D323">
        <f>COUNTIFS(fin_table[Branch Code],B323,fin_table[[loan Default ]], "Default")</f>
        <v>1</v>
      </c>
      <c r="K323" t="str">
        <v>BR172</v>
      </c>
      <c r="L323">
        <f>COUNTIFS(fin_table[Branch Code],K323,fin_table[Risk Level],"High-Risk")</f>
        <v>1</v>
      </c>
    </row>
    <row r="324" spans="2:12" x14ac:dyDescent="0.35">
      <c r="B324" t="s">
        <v>1516</v>
      </c>
      <c r="C324">
        <f>COUNTIFS(fin_table[Branch Code],B324,fin_table[[loan Default ]], "Default")</f>
        <v>0</v>
      </c>
      <c r="D324">
        <f>COUNTIFS(fin_table[Branch Code],B324,fin_table[[loan Default ]], "Default")</f>
        <v>0</v>
      </c>
      <c r="K324" t="str">
        <v>BR615</v>
      </c>
      <c r="L324">
        <f>COUNTIFS(fin_table[Branch Code],K324,fin_table[Risk Level],"High-Risk")</f>
        <v>1</v>
      </c>
    </row>
    <row r="325" spans="2:12" x14ac:dyDescent="0.35">
      <c r="B325" t="s">
        <v>1520</v>
      </c>
      <c r="C325">
        <f>COUNTIFS(fin_table[Branch Code],B325,fin_table[[loan Default ]], "Default")</f>
        <v>1</v>
      </c>
      <c r="D325">
        <f>COUNTIFS(fin_table[Branch Code],B325,fin_table[[loan Default ]], "Default")</f>
        <v>1</v>
      </c>
      <c r="K325" t="str">
        <v>BR175</v>
      </c>
      <c r="L325">
        <f>COUNTIFS(fin_table[Branch Code],K325,fin_table[Risk Level],"High-Risk")</f>
        <v>0</v>
      </c>
    </row>
    <row r="326" spans="2:12" x14ac:dyDescent="0.35">
      <c r="B326" t="s">
        <v>1524</v>
      </c>
      <c r="C326">
        <f>COUNTIFS(fin_table[Branch Code],B326,fin_table[[loan Default ]], "Default")</f>
        <v>0</v>
      </c>
      <c r="D326">
        <f>COUNTIFS(fin_table[Branch Code],B326,fin_table[[loan Default ]], "Default")</f>
        <v>0</v>
      </c>
      <c r="K326" t="str">
        <v>BR940</v>
      </c>
      <c r="L326">
        <f>COUNTIFS(fin_table[Branch Code],K326,fin_table[Risk Level],"High-Risk")</f>
        <v>0</v>
      </c>
    </row>
    <row r="327" spans="2:12" x14ac:dyDescent="0.35">
      <c r="B327" t="s">
        <v>1528</v>
      </c>
      <c r="C327">
        <f>COUNTIFS(fin_table[Branch Code],B327,fin_table[[loan Default ]], "Default")</f>
        <v>1</v>
      </c>
      <c r="D327">
        <f>COUNTIFS(fin_table[Branch Code],B327,fin_table[[loan Default ]], "Default")</f>
        <v>1</v>
      </c>
      <c r="K327" t="str">
        <v>BR176</v>
      </c>
      <c r="L327">
        <f>COUNTIFS(fin_table[Branch Code],K327,fin_table[Risk Level],"High-Risk")</f>
        <v>0</v>
      </c>
    </row>
    <row r="328" spans="2:12" x14ac:dyDescent="0.35">
      <c r="B328" t="s">
        <v>1532</v>
      </c>
      <c r="C328">
        <f>COUNTIFS(fin_table[Branch Code],B328,fin_table[[loan Default ]], "Default")</f>
        <v>1</v>
      </c>
      <c r="D328">
        <f>COUNTIFS(fin_table[Branch Code],B328,fin_table[[loan Default ]], "Default")</f>
        <v>1</v>
      </c>
      <c r="K328" t="str">
        <v>BR915</v>
      </c>
      <c r="L328">
        <f>COUNTIFS(fin_table[Branch Code],K328,fin_table[Risk Level],"High-Risk")</f>
        <v>0</v>
      </c>
    </row>
    <row r="329" spans="2:12" x14ac:dyDescent="0.35">
      <c r="B329" t="s">
        <v>1536</v>
      </c>
      <c r="C329">
        <f>COUNTIFS(fin_table[Branch Code],B329,fin_table[[loan Default ]], "Default")</f>
        <v>1</v>
      </c>
      <c r="D329">
        <f>COUNTIFS(fin_table[Branch Code],B329,fin_table[[loan Default ]], "Default")</f>
        <v>1</v>
      </c>
      <c r="K329" t="str">
        <v>BR867</v>
      </c>
      <c r="L329">
        <f>COUNTIFS(fin_table[Branch Code],K329,fin_table[Risk Level],"High-Risk")</f>
        <v>0</v>
      </c>
    </row>
    <row r="330" spans="2:12" x14ac:dyDescent="0.35">
      <c r="B330" t="s">
        <v>1540</v>
      </c>
      <c r="C330">
        <f>COUNTIFS(fin_table[Branch Code],B330,fin_table[[loan Default ]], "Default")</f>
        <v>0</v>
      </c>
      <c r="D330">
        <f>COUNTIFS(fin_table[Branch Code],B330,fin_table[[loan Default ]], "Default")</f>
        <v>0</v>
      </c>
      <c r="K330" t="str">
        <v>BR509</v>
      </c>
      <c r="L330">
        <f>COUNTIFS(fin_table[Branch Code],K330,fin_table[Risk Level],"High-Risk")</f>
        <v>0</v>
      </c>
    </row>
    <row r="331" spans="2:12" x14ac:dyDescent="0.35">
      <c r="B331" t="s">
        <v>1544</v>
      </c>
      <c r="C331">
        <f>COUNTIFS(fin_table[Branch Code],B331,fin_table[[loan Default ]], "Default")</f>
        <v>1</v>
      </c>
      <c r="D331">
        <f>COUNTIFS(fin_table[Branch Code],B331,fin_table[[loan Default ]], "Default")</f>
        <v>1</v>
      </c>
      <c r="K331" t="str">
        <v>BR713</v>
      </c>
      <c r="L331">
        <f>COUNTIFS(fin_table[Branch Code],K331,fin_table[Risk Level],"High-Risk")</f>
        <v>1</v>
      </c>
    </row>
    <row r="332" spans="2:12" x14ac:dyDescent="0.35">
      <c r="B332" t="s">
        <v>1551</v>
      </c>
      <c r="C332">
        <f>COUNTIFS(fin_table[Branch Code],B332,fin_table[[loan Default ]], "Default")</f>
        <v>1</v>
      </c>
      <c r="D332">
        <f>COUNTIFS(fin_table[Branch Code],B332,fin_table[[loan Default ]], "Default")</f>
        <v>1</v>
      </c>
      <c r="K332" t="str">
        <v>BR944</v>
      </c>
      <c r="L332">
        <f>COUNTIFS(fin_table[Branch Code],K332,fin_table[Risk Level],"High-Risk")</f>
        <v>0</v>
      </c>
    </row>
    <row r="333" spans="2:12" x14ac:dyDescent="0.35">
      <c r="B333" t="s">
        <v>1555</v>
      </c>
      <c r="C333">
        <f>COUNTIFS(fin_table[Branch Code],B333,fin_table[[loan Default ]], "Default")</f>
        <v>0</v>
      </c>
      <c r="D333">
        <f>COUNTIFS(fin_table[Branch Code],B333,fin_table[[loan Default ]], "Default")</f>
        <v>0</v>
      </c>
      <c r="K333" t="str">
        <v>BR650</v>
      </c>
      <c r="L333">
        <f>COUNTIFS(fin_table[Branch Code],K333,fin_table[Risk Level],"High-Risk")</f>
        <v>0</v>
      </c>
    </row>
    <row r="334" spans="2:12" x14ac:dyDescent="0.35">
      <c r="B334" t="s">
        <v>1559</v>
      </c>
      <c r="C334">
        <f>COUNTIFS(fin_table[Branch Code],B334,fin_table[[loan Default ]], "Default")</f>
        <v>1</v>
      </c>
      <c r="D334">
        <f>COUNTIFS(fin_table[Branch Code],B334,fin_table[[loan Default ]], "Default")</f>
        <v>1</v>
      </c>
      <c r="K334" t="str">
        <v>BR575</v>
      </c>
      <c r="L334">
        <f>COUNTIFS(fin_table[Branch Code],K334,fin_table[Risk Level],"High-Risk")</f>
        <v>0</v>
      </c>
    </row>
    <row r="335" spans="2:12" x14ac:dyDescent="0.35">
      <c r="B335" t="s">
        <v>1569</v>
      </c>
      <c r="C335">
        <f>COUNTIFS(fin_table[Branch Code],B335,fin_table[[loan Default ]], "Default")</f>
        <v>0</v>
      </c>
      <c r="D335">
        <f>COUNTIFS(fin_table[Branch Code],B335,fin_table[[loan Default ]], "Default")</f>
        <v>0</v>
      </c>
      <c r="K335" t="str">
        <v>BR187</v>
      </c>
      <c r="L335">
        <f>COUNTIFS(fin_table[Branch Code],K335,fin_table[Risk Level],"High-Risk")</f>
        <v>0</v>
      </c>
    </row>
    <row r="336" spans="2:12" x14ac:dyDescent="0.35">
      <c r="B336" t="s">
        <v>1576</v>
      </c>
      <c r="C336">
        <f>COUNTIFS(fin_table[Branch Code],B336,fin_table[[loan Default ]], "Default")</f>
        <v>0</v>
      </c>
      <c r="D336">
        <f>COUNTIFS(fin_table[Branch Code],B336,fin_table[[loan Default ]], "Default")</f>
        <v>0</v>
      </c>
      <c r="K336" t="str">
        <v>BR980</v>
      </c>
      <c r="L336">
        <f>COUNTIFS(fin_table[Branch Code],K336,fin_table[Risk Level],"High-Risk")</f>
        <v>0</v>
      </c>
    </row>
    <row r="337" spans="2:12" x14ac:dyDescent="0.35">
      <c r="B337" t="s">
        <v>1592</v>
      </c>
      <c r="C337">
        <f>COUNTIFS(fin_table[Branch Code],B337,fin_table[[loan Default ]], "Default")</f>
        <v>0</v>
      </c>
      <c r="D337">
        <f>COUNTIFS(fin_table[Branch Code],B337,fin_table[[loan Default ]], "Default")</f>
        <v>0</v>
      </c>
      <c r="K337" t="str">
        <v>BR344</v>
      </c>
      <c r="L337">
        <f>COUNTIFS(fin_table[Branch Code],K337,fin_table[Risk Level],"High-Risk")</f>
        <v>0</v>
      </c>
    </row>
    <row r="338" spans="2:12" x14ac:dyDescent="0.35">
      <c r="B338" t="s">
        <v>1599</v>
      </c>
      <c r="C338">
        <f>COUNTIFS(fin_table[Branch Code],B338,fin_table[[loan Default ]], "Default")</f>
        <v>1</v>
      </c>
      <c r="D338">
        <f>COUNTIFS(fin_table[Branch Code],B338,fin_table[[loan Default ]], "Default")</f>
        <v>1</v>
      </c>
      <c r="K338" t="str">
        <v>BR877</v>
      </c>
      <c r="L338">
        <f>COUNTIFS(fin_table[Branch Code],K338,fin_table[Risk Level],"High-Risk")</f>
        <v>0</v>
      </c>
    </row>
    <row r="339" spans="2:12" x14ac:dyDescent="0.35">
      <c r="B339" t="s">
        <v>1615</v>
      </c>
      <c r="C339">
        <f>COUNTIFS(fin_table[Branch Code],B339,fin_table[[loan Default ]], "Default")</f>
        <v>0</v>
      </c>
      <c r="D339">
        <f>COUNTIFS(fin_table[Branch Code],B339,fin_table[[loan Default ]], "Default")</f>
        <v>0</v>
      </c>
      <c r="K339" t="str">
        <v>BR836</v>
      </c>
      <c r="L339">
        <f>COUNTIFS(fin_table[Branch Code],K339,fin_table[Risk Level],"High-Risk")</f>
        <v>0</v>
      </c>
    </row>
    <row r="340" spans="2:12" x14ac:dyDescent="0.35">
      <c r="B340" t="s">
        <v>1619</v>
      </c>
      <c r="C340">
        <f>COUNTIFS(fin_table[Branch Code],B340,fin_table[[loan Default ]], "Default")</f>
        <v>0</v>
      </c>
      <c r="D340">
        <f>COUNTIFS(fin_table[Branch Code],B340,fin_table[[loan Default ]], "Default")</f>
        <v>0</v>
      </c>
      <c r="K340" t="str">
        <v>BR241</v>
      </c>
      <c r="L340">
        <f>COUNTIFS(fin_table[Branch Code],K340,fin_table[Risk Level],"High-Risk")</f>
        <v>0</v>
      </c>
    </row>
    <row r="341" spans="2:12" x14ac:dyDescent="0.35">
      <c r="B341" t="s">
        <v>1626</v>
      </c>
      <c r="C341">
        <f>COUNTIFS(fin_table[Branch Code],B341,fin_table[[loan Default ]], "Default")</f>
        <v>0</v>
      </c>
      <c r="D341">
        <f>COUNTIFS(fin_table[Branch Code],B341,fin_table[[loan Default ]], "Default")</f>
        <v>0</v>
      </c>
      <c r="K341" t="str">
        <v>BR467</v>
      </c>
      <c r="L341">
        <f>COUNTIFS(fin_table[Branch Code],K341,fin_table[Risk Level],"High-Risk")</f>
        <v>0</v>
      </c>
    </row>
    <row r="342" spans="2:12" x14ac:dyDescent="0.35">
      <c r="B342" t="s">
        <v>1630</v>
      </c>
      <c r="C342">
        <f>COUNTIFS(fin_table[Branch Code],B342,fin_table[[loan Default ]], "Default")</f>
        <v>0</v>
      </c>
      <c r="D342">
        <f>COUNTIFS(fin_table[Branch Code],B342,fin_table[[loan Default ]], "Default")</f>
        <v>0</v>
      </c>
      <c r="K342" t="str">
        <v>BR183</v>
      </c>
      <c r="L342">
        <f>COUNTIFS(fin_table[Branch Code],K342,fin_table[Risk Level],"High-Risk")</f>
        <v>0</v>
      </c>
    </row>
    <row r="343" spans="2:12" x14ac:dyDescent="0.35">
      <c r="B343" t="s">
        <v>1634</v>
      </c>
      <c r="C343">
        <f>COUNTIFS(fin_table[Branch Code],B343,fin_table[[loan Default ]], "Default")</f>
        <v>0</v>
      </c>
      <c r="D343">
        <f>COUNTIFS(fin_table[Branch Code],B343,fin_table[[loan Default ]], "Default")</f>
        <v>0</v>
      </c>
      <c r="K343" t="str">
        <v>BR242</v>
      </c>
      <c r="L343">
        <f>COUNTIFS(fin_table[Branch Code],K343,fin_table[Risk Level],"High-Risk")</f>
        <v>0</v>
      </c>
    </row>
    <row r="344" spans="2:12" x14ac:dyDescent="0.35">
      <c r="B344" t="s">
        <v>1638</v>
      </c>
      <c r="C344">
        <f>COUNTIFS(fin_table[Branch Code],B344,fin_table[[loan Default ]], "Default")</f>
        <v>1</v>
      </c>
      <c r="D344">
        <f>COUNTIFS(fin_table[Branch Code],B344,fin_table[[loan Default ]], "Default")</f>
        <v>1</v>
      </c>
      <c r="K344" t="str">
        <v>BR451</v>
      </c>
      <c r="L344">
        <f>COUNTIFS(fin_table[Branch Code],K344,fin_table[Risk Level],"High-Risk")</f>
        <v>0</v>
      </c>
    </row>
    <row r="345" spans="2:12" x14ac:dyDescent="0.35">
      <c r="B345" t="s">
        <v>1645</v>
      </c>
      <c r="C345">
        <f>COUNTIFS(fin_table[Branch Code],B345,fin_table[[loan Default ]], "Default")</f>
        <v>1</v>
      </c>
      <c r="D345">
        <f>COUNTIFS(fin_table[Branch Code],B345,fin_table[[loan Default ]], "Default")</f>
        <v>1</v>
      </c>
      <c r="K345" t="str">
        <v>BR251</v>
      </c>
      <c r="L345">
        <f>COUNTIFS(fin_table[Branch Code],K345,fin_table[Risk Level],"High-Risk")</f>
        <v>0</v>
      </c>
    </row>
    <row r="346" spans="2:12" x14ac:dyDescent="0.35">
      <c r="B346" t="s">
        <v>1649</v>
      </c>
      <c r="C346">
        <f>COUNTIFS(fin_table[Branch Code],B346,fin_table[[loan Default ]], "Default")</f>
        <v>1</v>
      </c>
      <c r="D346">
        <f>COUNTIFS(fin_table[Branch Code],B346,fin_table[[loan Default ]], "Default")</f>
        <v>1</v>
      </c>
      <c r="K346" t="str">
        <v>BR257</v>
      </c>
      <c r="L346">
        <f>COUNTIFS(fin_table[Branch Code],K346,fin_table[Risk Level],"High-Risk")</f>
        <v>1</v>
      </c>
    </row>
    <row r="347" spans="2:12" x14ac:dyDescent="0.35">
      <c r="B347" t="s">
        <v>1656</v>
      </c>
      <c r="C347">
        <f>COUNTIFS(fin_table[Branch Code],B347,fin_table[[loan Default ]], "Default")</f>
        <v>0</v>
      </c>
      <c r="D347">
        <f>COUNTIFS(fin_table[Branch Code],B347,fin_table[[loan Default ]], "Default")</f>
        <v>0</v>
      </c>
      <c r="K347" t="str">
        <v>BR752</v>
      </c>
      <c r="L347">
        <f>COUNTIFS(fin_table[Branch Code],K347,fin_table[Risk Level],"High-Risk")</f>
        <v>0</v>
      </c>
    </row>
    <row r="348" spans="2:12" x14ac:dyDescent="0.35">
      <c r="B348" t="s">
        <v>1660</v>
      </c>
      <c r="C348">
        <f>COUNTIFS(fin_table[Branch Code],B348,fin_table[[loan Default ]], "Default")</f>
        <v>0</v>
      </c>
      <c r="D348">
        <f>COUNTIFS(fin_table[Branch Code],B348,fin_table[[loan Default ]], "Default")</f>
        <v>0</v>
      </c>
      <c r="K348" t="str">
        <v>BR862</v>
      </c>
      <c r="L348">
        <f>COUNTIFS(fin_table[Branch Code],K348,fin_table[Risk Level],"High-Risk")</f>
        <v>0</v>
      </c>
    </row>
    <row r="349" spans="2:12" x14ac:dyDescent="0.35">
      <c r="B349" t="s">
        <v>1664</v>
      </c>
      <c r="C349">
        <f>COUNTIFS(fin_table[Branch Code],B349,fin_table[[loan Default ]], "Default")</f>
        <v>0</v>
      </c>
      <c r="D349">
        <f>COUNTIFS(fin_table[Branch Code],B349,fin_table[[loan Default ]], "Default")</f>
        <v>0</v>
      </c>
      <c r="K349" t="str">
        <v>BR402</v>
      </c>
      <c r="L349">
        <f>COUNTIFS(fin_table[Branch Code],K349,fin_table[Risk Level],"High-Risk")</f>
        <v>0</v>
      </c>
    </row>
    <row r="350" spans="2:12" x14ac:dyDescent="0.35">
      <c r="B350" t="s">
        <v>1668</v>
      </c>
      <c r="C350">
        <f>COUNTIFS(fin_table[Branch Code],B350,fin_table[[loan Default ]], "Default")</f>
        <v>0</v>
      </c>
      <c r="D350">
        <f>COUNTIFS(fin_table[Branch Code],B350,fin_table[[loan Default ]], "Default")</f>
        <v>0</v>
      </c>
      <c r="K350" t="str">
        <v>BR723</v>
      </c>
      <c r="L350">
        <f>COUNTIFS(fin_table[Branch Code],K350,fin_table[Risk Level],"High-Risk")</f>
        <v>0</v>
      </c>
    </row>
    <row r="351" spans="2:12" x14ac:dyDescent="0.35">
      <c r="B351" t="s">
        <v>1672</v>
      </c>
      <c r="C351">
        <f>COUNTIFS(fin_table[Branch Code],B351,fin_table[[loan Default ]], "Default")</f>
        <v>0</v>
      </c>
      <c r="D351">
        <f>COUNTIFS(fin_table[Branch Code],B351,fin_table[[loan Default ]], "Default")</f>
        <v>0</v>
      </c>
      <c r="K351" t="str">
        <v>BR755</v>
      </c>
      <c r="L351">
        <f>COUNTIFS(fin_table[Branch Code],K351,fin_table[Risk Level],"High-Risk")</f>
        <v>0</v>
      </c>
    </row>
    <row r="352" spans="2:12" x14ac:dyDescent="0.35">
      <c r="B352" t="s">
        <v>1679</v>
      </c>
      <c r="C352">
        <f>COUNTIFS(fin_table[Branch Code],B352,fin_table[[loan Default ]], "Default")</f>
        <v>0</v>
      </c>
      <c r="D352">
        <f>COUNTIFS(fin_table[Branch Code],B352,fin_table[[loan Default ]], "Default")</f>
        <v>0</v>
      </c>
      <c r="K352" t="str">
        <v>BR820</v>
      </c>
      <c r="L352">
        <f>COUNTIFS(fin_table[Branch Code],K352,fin_table[Risk Level],"High-Risk")</f>
        <v>0</v>
      </c>
    </row>
    <row r="353" spans="2:12" x14ac:dyDescent="0.35">
      <c r="B353" t="s">
        <v>1683</v>
      </c>
      <c r="C353">
        <f>COUNTIFS(fin_table[Branch Code],B353,fin_table[[loan Default ]], "Default")</f>
        <v>0</v>
      </c>
      <c r="D353">
        <f>COUNTIFS(fin_table[Branch Code],B353,fin_table[[loan Default ]], "Default")</f>
        <v>0</v>
      </c>
      <c r="K353" t="str">
        <v>BR323</v>
      </c>
      <c r="L353">
        <f>COUNTIFS(fin_table[Branch Code],K353,fin_table[Risk Level],"High-Risk")</f>
        <v>0</v>
      </c>
    </row>
    <row r="354" spans="2:12" x14ac:dyDescent="0.35">
      <c r="B354" t="s">
        <v>1690</v>
      </c>
      <c r="C354">
        <f>COUNTIFS(fin_table[Branch Code],B354,fin_table[[loan Default ]], "Default")</f>
        <v>0</v>
      </c>
      <c r="D354">
        <f>COUNTIFS(fin_table[Branch Code],B354,fin_table[[loan Default ]], "Default")</f>
        <v>0</v>
      </c>
      <c r="K354" t="str">
        <v>BR363</v>
      </c>
      <c r="L354">
        <f>COUNTIFS(fin_table[Branch Code],K354,fin_table[Risk Level],"High-Risk")</f>
        <v>0</v>
      </c>
    </row>
    <row r="355" spans="2:12" x14ac:dyDescent="0.35">
      <c r="B355" t="s">
        <v>1694</v>
      </c>
      <c r="C355">
        <f>COUNTIFS(fin_table[Branch Code],B355,fin_table[[loan Default ]], "Default")</f>
        <v>1</v>
      </c>
      <c r="D355">
        <f>COUNTIFS(fin_table[Branch Code],B355,fin_table[[loan Default ]], "Default")</f>
        <v>1</v>
      </c>
      <c r="K355" t="str">
        <v>BR855</v>
      </c>
      <c r="L355">
        <f>COUNTIFS(fin_table[Branch Code],K355,fin_table[Risk Level],"High-Risk")</f>
        <v>0</v>
      </c>
    </row>
    <row r="356" spans="2:12" x14ac:dyDescent="0.35">
      <c r="B356" t="s">
        <v>1704</v>
      </c>
      <c r="C356">
        <f>COUNTIFS(fin_table[Branch Code],B356,fin_table[[loan Default ]], "Default")</f>
        <v>1</v>
      </c>
      <c r="D356">
        <f>COUNTIFS(fin_table[Branch Code],B356,fin_table[[loan Default ]], "Default")</f>
        <v>1</v>
      </c>
      <c r="K356" t="str">
        <v>BR367</v>
      </c>
      <c r="L356">
        <f>COUNTIFS(fin_table[Branch Code],K356,fin_table[Risk Level],"High-Risk")</f>
        <v>1</v>
      </c>
    </row>
    <row r="357" spans="2:12" x14ac:dyDescent="0.35">
      <c r="B357" t="s">
        <v>1708</v>
      </c>
      <c r="C357">
        <f>COUNTIFS(fin_table[Branch Code],B357,fin_table[[loan Default ]], "Default")</f>
        <v>0</v>
      </c>
      <c r="D357">
        <f>COUNTIFS(fin_table[Branch Code],B357,fin_table[[loan Default ]], "Default")</f>
        <v>0</v>
      </c>
      <c r="K357" t="str">
        <v>BR695</v>
      </c>
      <c r="L357">
        <f>COUNTIFS(fin_table[Branch Code],K357,fin_table[Risk Level],"High-Risk")</f>
        <v>0</v>
      </c>
    </row>
    <row r="358" spans="2:12" x14ac:dyDescent="0.35">
      <c r="B358" t="s">
        <v>1712</v>
      </c>
      <c r="C358">
        <f>COUNTIFS(fin_table[Branch Code],B358,fin_table[[loan Default ]], "Default")</f>
        <v>1</v>
      </c>
      <c r="D358">
        <f>COUNTIFS(fin_table[Branch Code],B358,fin_table[[loan Default ]], "Default")</f>
        <v>1</v>
      </c>
      <c r="K358" t="str">
        <v>BR115</v>
      </c>
      <c r="L358">
        <f>COUNTIFS(fin_table[Branch Code],K358,fin_table[Risk Level],"High-Risk")</f>
        <v>1</v>
      </c>
    </row>
    <row r="359" spans="2:12" x14ac:dyDescent="0.35">
      <c r="B359" t="s">
        <v>1716</v>
      </c>
      <c r="C359">
        <f>COUNTIFS(fin_table[Branch Code],B359,fin_table[[loan Default ]], "Default")</f>
        <v>1</v>
      </c>
      <c r="D359">
        <f>COUNTIFS(fin_table[Branch Code],B359,fin_table[[loan Default ]], "Default")</f>
        <v>1</v>
      </c>
      <c r="K359" t="str">
        <v>BR433</v>
      </c>
      <c r="L359">
        <f>COUNTIFS(fin_table[Branch Code],K359,fin_table[Risk Level],"High-Risk")</f>
        <v>0</v>
      </c>
    </row>
    <row r="360" spans="2:12" x14ac:dyDescent="0.35">
      <c r="B360" t="s">
        <v>1723</v>
      </c>
      <c r="C360">
        <f>COUNTIFS(fin_table[Branch Code],B360,fin_table[[loan Default ]], "Default")</f>
        <v>0</v>
      </c>
      <c r="D360">
        <f>COUNTIFS(fin_table[Branch Code],B360,fin_table[[loan Default ]], "Default")</f>
        <v>0</v>
      </c>
      <c r="K360" t="str">
        <v>BR158</v>
      </c>
      <c r="L360">
        <f>COUNTIFS(fin_table[Branch Code],K360,fin_table[Risk Level],"High-Risk")</f>
        <v>1</v>
      </c>
    </row>
    <row r="361" spans="2:12" x14ac:dyDescent="0.35">
      <c r="B361" t="s">
        <v>1727</v>
      </c>
      <c r="C361">
        <f>COUNTIFS(fin_table[Branch Code],B361,fin_table[[loan Default ]], "Default")</f>
        <v>0</v>
      </c>
      <c r="D361">
        <f>COUNTIFS(fin_table[Branch Code],B361,fin_table[[loan Default ]], "Default")</f>
        <v>0</v>
      </c>
      <c r="K361" t="str">
        <v>BR276</v>
      </c>
      <c r="L361">
        <f>COUNTIFS(fin_table[Branch Code],K361,fin_table[Risk Level],"High-Risk")</f>
        <v>0</v>
      </c>
    </row>
    <row r="362" spans="2:12" x14ac:dyDescent="0.35">
      <c r="B362" t="s">
        <v>1731</v>
      </c>
      <c r="C362">
        <f>COUNTIFS(fin_table[Branch Code],B362,fin_table[[loan Default ]], "Default")</f>
        <v>1</v>
      </c>
      <c r="D362">
        <f>COUNTIFS(fin_table[Branch Code],B362,fin_table[[loan Default ]], "Default")</f>
        <v>1</v>
      </c>
      <c r="K362" t="str">
        <v>BR162</v>
      </c>
      <c r="L362">
        <f>COUNTIFS(fin_table[Branch Code],K362,fin_table[Risk Level],"High-Risk")</f>
        <v>1</v>
      </c>
    </row>
    <row r="363" spans="2:12" x14ac:dyDescent="0.35">
      <c r="B363" t="s">
        <v>1738</v>
      </c>
      <c r="C363">
        <f>COUNTIFS(fin_table[Branch Code],B363,fin_table[[loan Default ]], "Default")</f>
        <v>1</v>
      </c>
      <c r="D363">
        <f>COUNTIFS(fin_table[Branch Code],B363,fin_table[[loan Default ]], "Default")</f>
        <v>1</v>
      </c>
      <c r="K363" t="str">
        <v>BR406</v>
      </c>
      <c r="L363">
        <f>COUNTIFS(fin_table[Branch Code],K363,fin_table[Risk Level],"High-Risk")</f>
        <v>0</v>
      </c>
    </row>
    <row r="364" spans="2:12" x14ac:dyDescent="0.35">
      <c r="B364" t="s">
        <v>1742</v>
      </c>
      <c r="C364">
        <f>COUNTIFS(fin_table[Branch Code],B364,fin_table[[loan Default ]], "Default")</f>
        <v>0</v>
      </c>
      <c r="D364">
        <f>COUNTIFS(fin_table[Branch Code],B364,fin_table[[loan Default ]], "Default")</f>
        <v>0</v>
      </c>
      <c r="K364" t="str">
        <v>BR345</v>
      </c>
      <c r="L364">
        <f>COUNTIFS(fin_table[Branch Code],K364,fin_table[Risk Level],"High-Risk")</f>
        <v>0</v>
      </c>
    </row>
    <row r="365" spans="2:12" x14ac:dyDescent="0.35">
      <c r="B365" t="s">
        <v>1746</v>
      </c>
      <c r="C365">
        <f>COUNTIFS(fin_table[Branch Code],B365,fin_table[[loan Default ]], "Default")</f>
        <v>0</v>
      </c>
      <c r="D365">
        <f>COUNTIFS(fin_table[Branch Code],B365,fin_table[[loan Default ]], "Default")</f>
        <v>0</v>
      </c>
      <c r="K365" t="str">
        <v>BR388</v>
      </c>
      <c r="L365">
        <f>COUNTIFS(fin_table[Branch Code],K365,fin_table[Risk Level],"High-Risk")</f>
        <v>0</v>
      </c>
    </row>
    <row r="366" spans="2:12" x14ac:dyDescent="0.35">
      <c r="B366" t="s">
        <v>1753</v>
      </c>
      <c r="C366">
        <f>COUNTIFS(fin_table[Branch Code],B366,fin_table[[loan Default ]], "Default")</f>
        <v>0</v>
      </c>
      <c r="D366">
        <f>COUNTIFS(fin_table[Branch Code],B366,fin_table[[loan Default ]], "Default")</f>
        <v>0</v>
      </c>
      <c r="K366" t="str">
        <v>BR431</v>
      </c>
      <c r="L366">
        <f>COUNTIFS(fin_table[Branch Code],K366,fin_table[Risk Level],"High-Risk")</f>
        <v>0</v>
      </c>
    </row>
    <row r="367" spans="2:12" x14ac:dyDescent="0.35">
      <c r="B367" t="s">
        <v>1763</v>
      </c>
      <c r="C367">
        <f>COUNTIFS(fin_table[Branch Code],B367,fin_table[[loan Default ]], "Default")</f>
        <v>0</v>
      </c>
      <c r="D367">
        <f>COUNTIFS(fin_table[Branch Code],B367,fin_table[[loan Default ]], "Default")</f>
        <v>0</v>
      </c>
      <c r="K367" t="str">
        <v>BR354</v>
      </c>
      <c r="L367">
        <f>COUNTIFS(fin_table[Branch Code],K367,fin_table[Risk Level],"High-Risk")</f>
        <v>0</v>
      </c>
    </row>
    <row r="368" spans="2:12" x14ac:dyDescent="0.35">
      <c r="B368" t="s">
        <v>1767</v>
      </c>
      <c r="C368">
        <f>COUNTIFS(fin_table[Branch Code],B368,fin_table[[loan Default ]], "Default")</f>
        <v>1</v>
      </c>
      <c r="D368">
        <f>COUNTIFS(fin_table[Branch Code],B368,fin_table[[loan Default ]], "Default")</f>
        <v>1</v>
      </c>
      <c r="K368" t="str">
        <v>BR703</v>
      </c>
      <c r="L368">
        <f>COUNTIFS(fin_table[Branch Code],K368,fin_table[Risk Level],"High-Risk")</f>
        <v>0</v>
      </c>
    </row>
    <row r="369" spans="2:12" x14ac:dyDescent="0.35">
      <c r="B369" t="s">
        <v>1771</v>
      </c>
      <c r="C369">
        <f>COUNTIFS(fin_table[Branch Code],B369,fin_table[[loan Default ]], "Default")</f>
        <v>1</v>
      </c>
      <c r="D369">
        <f>COUNTIFS(fin_table[Branch Code],B369,fin_table[[loan Default ]], "Default")</f>
        <v>1</v>
      </c>
      <c r="K369" t="str">
        <v>BR609</v>
      </c>
      <c r="L369">
        <f>COUNTIFS(fin_table[Branch Code],K369,fin_table[Risk Level],"High-Risk")</f>
        <v>0</v>
      </c>
    </row>
    <row r="370" spans="2:12" x14ac:dyDescent="0.35">
      <c r="B370" t="s">
        <v>1775</v>
      </c>
      <c r="C370">
        <f>COUNTIFS(fin_table[Branch Code],B370,fin_table[[loan Default ]], "Default")</f>
        <v>1</v>
      </c>
      <c r="D370">
        <f>COUNTIFS(fin_table[Branch Code],B370,fin_table[[loan Default ]], "Default")</f>
        <v>1</v>
      </c>
      <c r="K370" t="str">
        <v>BR890</v>
      </c>
      <c r="L370">
        <f>COUNTIFS(fin_table[Branch Code],K370,fin_table[Risk Level],"High-Risk")</f>
        <v>0</v>
      </c>
    </row>
    <row r="371" spans="2:12" x14ac:dyDescent="0.35">
      <c r="B371" t="s">
        <v>1778</v>
      </c>
      <c r="C371">
        <f>COUNTIFS(fin_table[Branch Code],B371,fin_table[[loan Default ]], "Default")</f>
        <v>1</v>
      </c>
      <c r="D371">
        <f>COUNTIFS(fin_table[Branch Code],B371,fin_table[[loan Default ]], "Default")</f>
        <v>1</v>
      </c>
      <c r="K371" t="str">
        <v>BR817</v>
      </c>
      <c r="L371">
        <f>COUNTIFS(fin_table[Branch Code],K371,fin_table[Risk Level],"High-Risk")</f>
        <v>1</v>
      </c>
    </row>
    <row r="372" spans="2:12" x14ac:dyDescent="0.35">
      <c r="B372" t="s">
        <v>1782</v>
      </c>
      <c r="C372">
        <f>COUNTIFS(fin_table[Branch Code],B372,fin_table[[loan Default ]], "Default")</f>
        <v>1</v>
      </c>
      <c r="D372">
        <f>COUNTIFS(fin_table[Branch Code],B372,fin_table[[loan Default ]], "Default")</f>
        <v>1</v>
      </c>
      <c r="K372" t="str">
        <v>BR705</v>
      </c>
      <c r="L372">
        <f>COUNTIFS(fin_table[Branch Code],K372,fin_table[Risk Level],"High-Risk")</f>
        <v>0</v>
      </c>
    </row>
    <row r="373" spans="2:12" x14ac:dyDescent="0.35">
      <c r="B373" t="s">
        <v>1788</v>
      </c>
      <c r="C373">
        <f>COUNTIFS(fin_table[Branch Code],B373,fin_table[[loan Default ]], "Default")</f>
        <v>1</v>
      </c>
      <c r="D373">
        <f>COUNTIFS(fin_table[Branch Code],B373,fin_table[[loan Default ]], "Default")</f>
        <v>1</v>
      </c>
      <c r="K373" t="str">
        <v>BR912</v>
      </c>
      <c r="L373">
        <f>COUNTIFS(fin_table[Branch Code],K373,fin_table[Risk Level],"High-Risk")</f>
        <v>0</v>
      </c>
    </row>
    <row r="374" spans="2:12" x14ac:dyDescent="0.35">
      <c r="B374" t="s">
        <v>1792</v>
      </c>
      <c r="C374">
        <f>COUNTIFS(fin_table[Branch Code],B374,fin_table[[loan Default ]], "Default")</f>
        <v>0</v>
      </c>
      <c r="D374">
        <f>COUNTIFS(fin_table[Branch Code],B374,fin_table[[loan Default ]], "Default")</f>
        <v>0</v>
      </c>
      <c r="K374" t="str">
        <v>BR929</v>
      </c>
      <c r="L374">
        <f>COUNTIFS(fin_table[Branch Code],K374,fin_table[Risk Level],"High-Risk")</f>
        <v>1</v>
      </c>
    </row>
    <row r="375" spans="2:12" x14ac:dyDescent="0.35">
      <c r="B375" t="s">
        <v>1796</v>
      </c>
      <c r="C375">
        <f>COUNTIFS(fin_table[Branch Code],B375,fin_table[[loan Default ]], "Default")</f>
        <v>1</v>
      </c>
      <c r="D375">
        <f>COUNTIFS(fin_table[Branch Code],B375,fin_table[[loan Default ]], "Default")</f>
        <v>1</v>
      </c>
      <c r="K375" t="str">
        <v>BR562</v>
      </c>
      <c r="L375">
        <f>COUNTIFS(fin_table[Branch Code],K375,fin_table[Risk Level],"High-Risk")</f>
        <v>0</v>
      </c>
    </row>
    <row r="376" spans="2:12" x14ac:dyDescent="0.35">
      <c r="B376" t="s">
        <v>1799</v>
      </c>
      <c r="C376">
        <f>COUNTIFS(fin_table[Branch Code],B376,fin_table[[loan Default ]], "Default")</f>
        <v>1</v>
      </c>
      <c r="D376">
        <f>COUNTIFS(fin_table[Branch Code],B376,fin_table[[loan Default ]], "Default")</f>
        <v>1</v>
      </c>
      <c r="K376" t="str">
        <v>BR298</v>
      </c>
      <c r="L376">
        <f>COUNTIFS(fin_table[Branch Code],K376,fin_table[Risk Level],"High-Risk")</f>
        <v>0</v>
      </c>
    </row>
    <row r="377" spans="2:12" x14ac:dyDescent="0.35">
      <c r="B377" t="s">
        <v>1803</v>
      </c>
      <c r="C377">
        <f>COUNTIFS(fin_table[Branch Code],B377,fin_table[[loan Default ]], "Default")</f>
        <v>2</v>
      </c>
      <c r="D377">
        <f>COUNTIFS(fin_table[Branch Code],B377,fin_table[[loan Default ]], "Default")</f>
        <v>2</v>
      </c>
      <c r="K377" t="str">
        <v>BR370</v>
      </c>
      <c r="L377">
        <f>COUNTIFS(fin_table[Branch Code],K377,fin_table[Risk Level],"High-Risk")</f>
        <v>0</v>
      </c>
    </row>
    <row r="378" spans="2:12" x14ac:dyDescent="0.35">
      <c r="B378" t="s">
        <v>1807</v>
      </c>
      <c r="C378">
        <f>COUNTIFS(fin_table[Branch Code],B378,fin_table[[loan Default ]], "Default")</f>
        <v>2</v>
      </c>
      <c r="D378">
        <f>COUNTIFS(fin_table[Branch Code],B378,fin_table[[loan Default ]], "Default")</f>
        <v>2</v>
      </c>
      <c r="K378" t="str">
        <v>BR845</v>
      </c>
      <c r="L378">
        <f>COUNTIFS(fin_table[Branch Code],K378,fin_table[Risk Level],"High-Risk")</f>
        <v>0</v>
      </c>
    </row>
    <row r="379" spans="2:12" x14ac:dyDescent="0.35">
      <c r="B379" t="s">
        <v>1814</v>
      </c>
      <c r="C379">
        <f>COUNTIFS(fin_table[Branch Code],B379,fin_table[[loan Default ]], "Default")</f>
        <v>1</v>
      </c>
      <c r="D379">
        <f>COUNTIFS(fin_table[Branch Code],B379,fin_table[[loan Default ]], "Default")</f>
        <v>1</v>
      </c>
      <c r="K379" t="str">
        <v>BR163</v>
      </c>
      <c r="L379">
        <f>COUNTIFS(fin_table[Branch Code],K379,fin_table[Risk Level],"High-Risk")</f>
        <v>0</v>
      </c>
    </row>
    <row r="380" spans="2:12" x14ac:dyDescent="0.35">
      <c r="B380" t="s">
        <v>1821</v>
      </c>
      <c r="C380">
        <f>COUNTIFS(fin_table[Branch Code],B380,fin_table[[loan Default ]], "Default")</f>
        <v>1</v>
      </c>
      <c r="D380">
        <f>COUNTIFS(fin_table[Branch Code],B380,fin_table[[loan Default ]], "Default")</f>
        <v>1</v>
      </c>
      <c r="K380" t="str">
        <v>BR348</v>
      </c>
      <c r="L380">
        <f>COUNTIFS(fin_table[Branch Code],K380,fin_table[Risk Level],"High-Risk")</f>
        <v>0</v>
      </c>
    </row>
    <row r="381" spans="2:12" x14ac:dyDescent="0.35">
      <c r="B381" t="s">
        <v>1827</v>
      </c>
      <c r="C381">
        <f>COUNTIFS(fin_table[Branch Code],B381,fin_table[[loan Default ]], "Default")</f>
        <v>1</v>
      </c>
      <c r="D381">
        <f>COUNTIFS(fin_table[Branch Code],B381,fin_table[[loan Default ]], "Default")</f>
        <v>1</v>
      </c>
      <c r="K381" t="str">
        <v>BR686</v>
      </c>
      <c r="L381">
        <f>COUNTIFS(fin_table[Branch Code],K381,fin_table[Risk Level],"High-Risk")</f>
        <v>0</v>
      </c>
    </row>
    <row r="382" spans="2:12" x14ac:dyDescent="0.35">
      <c r="B382" t="s">
        <v>1831</v>
      </c>
      <c r="C382">
        <f>COUNTIFS(fin_table[Branch Code],B382,fin_table[[loan Default ]], "Default")</f>
        <v>0</v>
      </c>
      <c r="D382">
        <f>COUNTIFS(fin_table[Branch Code],B382,fin_table[[loan Default ]], "Default")</f>
        <v>0</v>
      </c>
      <c r="K382" t="str">
        <v>BR256</v>
      </c>
      <c r="L382">
        <f>COUNTIFS(fin_table[Branch Code],K382,fin_table[Risk Level],"High-Risk")</f>
        <v>0</v>
      </c>
    </row>
    <row r="383" spans="2:12" x14ac:dyDescent="0.35">
      <c r="B383" t="s">
        <v>1841</v>
      </c>
      <c r="C383">
        <f>COUNTIFS(fin_table[Branch Code],B383,fin_table[[loan Default ]], "Default")</f>
        <v>0</v>
      </c>
      <c r="D383">
        <f>COUNTIFS(fin_table[Branch Code],B383,fin_table[[loan Default ]], "Default")</f>
        <v>0</v>
      </c>
      <c r="K383" t="str">
        <v>BR663</v>
      </c>
      <c r="L383">
        <f>COUNTIFS(fin_table[Branch Code],K383,fin_table[Risk Level],"High-Risk")</f>
        <v>0</v>
      </c>
    </row>
    <row r="384" spans="2:12" x14ac:dyDescent="0.35">
      <c r="B384" t="s">
        <v>1848</v>
      </c>
      <c r="C384">
        <f>COUNTIFS(fin_table[Branch Code],B384,fin_table[[loan Default ]], "Default")</f>
        <v>2</v>
      </c>
      <c r="D384">
        <f>COUNTIFS(fin_table[Branch Code],B384,fin_table[[loan Default ]], "Default")</f>
        <v>2</v>
      </c>
      <c r="K384" t="str">
        <v>BR412</v>
      </c>
      <c r="L384">
        <f>COUNTIFS(fin_table[Branch Code],K384,fin_table[Risk Level],"High-Risk")</f>
        <v>0</v>
      </c>
    </row>
    <row r="385" spans="2:12" x14ac:dyDescent="0.35">
      <c r="B385" t="s">
        <v>1852</v>
      </c>
      <c r="C385">
        <f>COUNTIFS(fin_table[Branch Code],B385,fin_table[[loan Default ]], "Default")</f>
        <v>1</v>
      </c>
      <c r="D385">
        <f>COUNTIFS(fin_table[Branch Code],B385,fin_table[[loan Default ]], "Default")</f>
        <v>1</v>
      </c>
      <c r="K385" t="str">
        <v>BR950</v>
      </c>
      <c r="L385">
        <f>COUNTIFS(fin_table[Branch Code],K385,fin_table[Risk Level],"High-Risk")</f>
        <v>0</v>
      </c>
    </row>
    <row r="386" spans="2:12" x14ac:dyDescent="0.35">
      <c r="B386" t="s">
        <v>1856</v>
      </c>
      <c r="C386">
        <f>COUNTIFS(fin_table[Branch Code],B386,fin_table[[loan Default ]], "Default")</f>
        <v>0</v>
      </c>
      <c r="D386">
        <f>COUNTIFS(fin_table[Branch Code],B386,fin_table[[loan Default ]], "Default")</f>
        <v>0</v>
      </c>
      <c r="K386" t="str">
        <v>BR165</v>
      </c>
      <c r="L386">
        <f>COUNTIFS(fin_table[Branch Code],K386,fin_table[Risk Level],"High-Risk")</f>
        <v>0</v>
      </c>
    </row>
    <row r="387" spans="2:12" x14ac:dyDescent="0.35">
      <c r="B387" t="s">
        <v>1860</v>
      </c>
      <c r="C387">
        <f>COUNTIFS(fin_table[Branch Code],B387,fin_table[[loan Default ]], "Default")</f>
        <v>0</v>
      </c>
      <c r="D387">
        <f>COUNTIFS(fin_table[Branch Code],B387,fin_table[[loan Default ]], "Default")</f>
        <v>0</v>
      </c>
      <c r="K387" t="str">
        <v>BR761</v>
      </c>
      <c r="L387">
        <f>COUNTIFS(fin_table[Branch Code],K387,fin_table[Risk Level],"High-Risk")</f>
        <v>0</v>
      </c>
    </row>
    <row r="388" spans="2:12" x14ac:dyDescent="0.35">
      <c r="B388" t="s">
        <v>1867</v>
      </c>
      <c r="C388">
        <f>COUNTIFS(fin_table[Branch Code],B388,fin_table[[loan Default ]], "Default")</f>
        <v>0</v>
      </c>
      <c r="D388">
        <f>COUNTIFS(fin_table[Branch Code],B388,fin_table[[loan Default ]], "Default")</f>
        <v>0</v>
      </c>
      <c r="K388" t="str">
        <v>BR132</v>
      </c>
      <c r="L388">
        <f>COUNTIFS(fin_table[Branch Code],K388,fin_table[Risk Level],"High-Risk")</f>
        <v>0</v>
      </c>
    </row>
    <row r="389" spans="2:12" x14ac:dyDescent="0.35">
      <c r="B389" t="s">
        <v>1871</v>
      </c>
      <c r="C389">
        <f>COUNTIFS(fin_table[Branch Code],B389,fin_table[[loan Default ]], "Default")</f>
        <v>1</v>
      </c>
      <c r="D389">
        <f>COUNTIFS(fin_table[Branch Code],B389,fin_table[[loan Default ]], "Default")</f>
        <v>1</v>
      </c>
      <c r="K389" t="str">
        <v>BR939</v>
      </c>
      <c r="L389">
        <f>COUNTIFS(fin_table[Branch Code],K389,fin_table[Risk Level],"High-Risk")</f>
        <v>0</v>
      </c>
    </row>
    <row r="390" spans="2:12" x14ac:dyDescent="0.35">
      <c r="B390" t="s">
        <v>1896</v>
      </c>
      <c r="C390">
        <f>COUNTIFS(fin_table[Branch Code],B390,fin_table[[loan Default ]], "Default")</f>
        <v>1</v>
      </c>
      <c r="D390">
        <f>COUNTIFS(fin_table[Branch Code],B390,fin_table[[loan Default ]], "Default")</f>
        <v>1</v>
      </c>
      <c r="K390" t="str">
        <v>BR154</v>
      </c>
      <c r="L390">
        <f>COUNTIFS(fin_table[Branch Code],K390,fin_table[Risk Level],"High-Risk")</f>
        <v>0</v>
      </c>
    </row>
    <row r="391" spans="2:12" x14ac:dyDescent="0.35">
      <c r="B391" t="s">
        <v>1900</v>
      </c>
      <c r="C391">
        <f>COUNTIFS(fin_table[Branch Code],B391,fin_table[[loan Default ]], "Default")</f>
        <v>0</v>
      </c>
      <c r="D391">
        <f>COUNTIFS(fin_table[Branch Code],B391,fin_table[[loan Default ]], "Default")</f>
        <v>0</v>
      </c>
      <c r="K391" t="str">
        <v>BR160</v>
      </c>
      <c r="L391">
        <f>COUNTIFS(fin_table[Branch Code],K391,fin_table[Risk Level],"High-Risk")</f>
        <v>0</v>
      </c>
    </row>
    <row r="392" spans="2:12" x14ac:dyDescent="0.35">
      <c r="B392" t="s">
        <v>1904</v>
      </c>
      <c r="C392">
        <f>COUNTIFS(fin_table[Branch Code],B392,fin_table[[loan Default ]], "Default")</f>
        <v>1</v>
      </c>
      <c r="D392">
        <f>COUNTIFS(fin_table[Branch Code],B392,fin_table[[loan Default ]], "Default")</f>
        <v>1</v>
      </c>
      <c r="K392" t="str">
        <v>BR956</v>
      </c>
      <c r="L392">
        <f>COUNTIFS(fin_table[Branch Code],K392,fin_table[Risk Level],"High-Risk")</f>
        <v>0</v>
      </c>
    </row>
    <row r="393" spans="2:12" x14ac:dyDescent="0.35">
      <c r="B393" t="s">
        <v>1911</v>
      </c>
      <c r="C393">
        <f>COUNTIFS(fin_table[Branch Code],B393,fin_table[[loan Default ]], "Default")</f>
        <v>0</v>
      </c>
      <c r="D393">
        <f>COUNTIFS(fin_table[Branch Code],B393,fin_table[[loan Default ]], "Default")</f>
        <v>0</v>
      </c>
      <c r="K393" t="str">
        <v>BR371</v>
      </c>
      <c r="L393">
        <f>COUNTIFS(fin_table[Branch Code],K393,fin_table[Risk Level],"High-Risk")</f>
        <v>0</v>
      </c>
    </row>
    <row r="394" spans="2:12" x14ac:dyDescent="0.35">
      <c r="B394" t="s">
        <v>1921</v>
      </c>
      <c r="C394">
        <f>COUNTIFS(fin_table[Branch Code],B394,fin_table[[loan Default ]], "Default")</f>
        <v>2</v>
      </c>
      <c r="D394">
        <f>COUNTIFS(fin_table[Branch Code],B394,fin_table[[loan Default ]], "Default")</f>
        <v>2</v>
      </c>
      <c r="K394" t="str">
        <v>BR727</v>
      </c>
      <c r="L394">
        <f>COUNTIFS(fin_table[Branch Code],K394,fin_table[Risk Level],"High-Risk")</f>
        <v>0</v>
      </c>
    </row>
    <row r="395" spans="2:12" x14ac:dyDescent="0.35">
      <c r="B395" t="s">
        <v>1937</v>
      </c>
      <c r="C395">
        <f>COUNTIFS(fin_table[Branch Code],B395,fin_table[[loan Default ]], "Default")</f>
        <v>0</v>
      </c>
      <c r="D395">
        <f>COUNTIFS(fin_table[Branch Code],B395,fin_table[[loan Default ]], "Default")</f>
        <v>0</v>
      </c>
      <c r="K395" t="str">
        <v>BR230</v>
      </c>
      <c r="L395">
        <f>COUNTIFS(fin_table[Branch Code],K395,fin_table[Risk Level],"High-Risk")</f>
        <v>0</v>
      </c>
    </row>
    <row r="396" spans="2:12" x14ac:dyDescent="0.35">
      <c r="B396" t="s">
        <v>1940</v>
      </c>
      <c r="C396">
        <f>COUNTIFS(fin_table[Branch Code],B396,fin_table[[loan Default ]], "Default")</f>
        <v>0</v>
      </c>
      <c r="D396">
        <f>COUNTIFS(fin_table[Branch Code],B396,fin_table[[loan Default ]], "Default")</f>
        <v>0</v>
      </c>
      <c r="K396" t="str">
        <v>BR201</v>
      </c>
      <c r="L396">
        <f>COUNTIFS(fin_table[Branch Code],K396,fin_table[Risk Level],"High-Risk")</f>
        <v>0</v>
      </c>
    </row>
    <row r="397" spans="2:12" x14ac:dyDescent="0.35">
      <c r="B397" t="s">
        <v>1947</v>
      </c>
      <c r="C397">
        <f>COUNTIFS(fin_table[Branch Code],B397,fin_table[[loan Default ]], "Default")</f>
        <v>0</v>
      </c>
      <c r="D397">
        <f>COUNTIFS(fin_table[Branch Code],B397,fin_table[[loan Default ]], "Default")</f>
        <v>0</v>
      </c>
      <c r="K397" t="str">
        <v>BR881</v>
      </c>
      <c r="L397">
        <f>COUNTIFS(fin_table[Branch Code],K397,fin_table[Risk Level],"High-Risk")</f>
        <v>0</v>
      </c>
    </row>
    <row r="398" spans="2:12" x14ac:dyDescent="0.35">
      <c r="B398" t="s">
        <v>1951</v>
      </c>
      <c r="C398">
        <f>COUNTIFS(fin_table[Branch Code],B398,fin_table[[loan Default ]], "Default")</f>
        <v>1</v>
      </c>
      <c r="D398">
        <f>COUNTIFS(fin_table[Branch Code],B398,fin_table[[loan Default ]], "Default")</f>
        <v>1</v>
      </c>
      <c r="K398" t="str">
        <v>BR391</v>
      </c>
      <c r="L398">
        <f>COUNTIFS(fin_table[Branch Code],K398,fin_table[Risk Level],"High-Risk")</f>
        <v>0</v>
      </c>
    </row>
    <row r="399" spans="2:12" x14ac:dyDescent="0.35">
      <c r="B399" t="s">
        <v>1955</v>
      </c>
      <c r="C399">
        <f>COUNTIFS(fin_table[Branch Code],B399,fin_table[[loan Default ]], "Default")</f>
        <v>0</v>
      </c>
      <c r="D399">
        <f>COUNTIFS(fin_table[Branch Code],B399,fin_table[[loan Default ]], "Default")</f>
        <v>0</v>
      </c>
      <c r="K399" t="str">
        <v>BR821</v>
      </c>
      <c r="L399">
        <f>COUNTIFS(fin_table[Branch Code],K399,fin_table[Risk Level],"High-Risk")</f>
        <v>0</v>
      </c>
    </row>
    <row r="400" spans="2:12" x14ac:dyDescent="0.35">
      <c r="B400" t="s">
        <v>1961</v>
      </c>
      <c r="C400">
        <f>COUNTIFS(fin_table[Branch Code],B400,fin_table[[loan Default ]], "Default")</f>
        <v>0</v>
      </c>
      <c r="D400">
        <f>COUNTIFS(fin_table[Branch Code],B400,fin_table[[loan Default ]], "Default")</f>
        <v>0</v>
      </c>
      <c r="K400" t="str">
        <v>BR460</v>
      </c>
      <c r="L400">
        <f>COUNTIFS(fin_table[Branch Code],K400,fin_table[Risk Level],"High-Risk")</f>
        <v>0</v>
      </c>
    </row>
    <row r="401" spans="2:12" x14ac:dyDescent="0.35">
      <c r="B401" t="s">
        <v>1965</v>
      </c>
      <c r="C401">
        <f>COUNTIFS(fin_table[Branch Code],B401,fin_table[[loan Default ]], "Default")</f>
        <v>1</v>
      </c>
      <c r="D401">
        <f>COUNTIFS(fin_table[Branch Code],B401,fin_table[[loan Default ]], "Default")</f>
        <v>1</v>
      </c>
      <c r="K401" t="str">
        <v>BR437</v>
      </c>
      <c r="L401">
        <f>COUNTIFS(fin_table[Branch Code],K401,fin_table[Risk Level],"High-Risk")</f>
        <v>0</v>
      </c>
    </row>
    <row r="402" spans="2:12" x14ac:dyDescent="0.35">
      <c r="B402" t="s">
        <v>1969</v>
      </c>
      <c r="C402">
        <f>COUNTIFS(fin_table[Branch Code],B402,fin_table[[loan Default ]], "Default")</f>
        <v>1</v>
      </c>
      <c r="D402">
        <f>COUNTIFS(fin_table[Branch Code],B402,fin_table[[loan Default ]], "Default")</f>
        <v>1</v>
      </c>
      <c r="K402" t="str">
        <v>BR678</v>
      </c>
      <c r="L402">
        <f>COUNTIFS(fin_table[Branch Code],K402,fin_table[Risk Level],"High-Risk")</f>
        <v>0</v>
      </c>
    </row>
    <row r="403" spans="2:12" x14ac:dyDescent="0.35">
      <c r="B403" t="s">
        <v>1973</v>
      </c>
      <c r="C403">
        <f>COUNTIFS(fin_table[Branch Code],B403,fin_table[[loan Default ]], "Default")</f>
        <v>0</v>
      </c>
      <c r="D403">
        <f>COUNTIFS(fin_table[Branch Code],B403,fin_table[[loan Default ]], "Default")</f>
        <v>0</v>
      </c>
      <c r="K403" t="str">
        <v>BR109</v>
      </c>
      <c r="L403">
        <f>COUNTIFS(fin_table[Branch Code],K403,fin_table[Risk Level],"High-Risk")</f>
        <v>0</v>
      </c>
    </row>
    <row r="404" spans="2:12" x14ac:dyDescent="0.35">
      <c r="B404" t="s">
        <v>1977</v>
      </c>
      <c r="C404">
        <f>COUNTIFS(fin_table[Branch Code],B404,fin_table[[loan Default ]], "Default")</f>
        <v>1</v>
      </c>
      <c r="D404">
        <f>COUNTIFS(fin_table[Branch Code],B404,fin_table[[loan Default ]], "Default")</f>
        <v>1</v>
      </c>
      <c r="K404" t="str">
        <v>BR148</v>
      </c>
      <c r="L404">
        <f>COUNTIFS(fin_table[Branch Code],K404,fin_table[Risk Level],"High-Risk")</f>
        <v>0</v>
      </c>
    </row>
    <row r="405" spans="2:12" x14ac:dyDescent="0.35">
      <c r="B405" t="s">
        <v>1987</v>
      </c>
      <c r="C405">
        <f>COUNTIFS(fin_table[Branch Code],B405,fin_table[[loan Default ]], "Default")</f>
        <v>0</v>
      </c>
      <c r="D405">
        <f>COUNTIFS(fin_table[Branch Code],B405,fin_table[[loan Default ]], "Default")</f>
        <v>0</v>
      </c>
      <c r="K405" t="str">
        <v>BR420</v>
      </c>
      <c r="L405">
        <f>COUNTIFS(fin_table[Branch Code],K405,fin_table[Risk Level],"High-Risk")</f>
        <v>0</v>
      </c>
    </row>
    <row r="406" spans="2:12" x14ac:dyDescent="0.35">
      <c r="B406" t="s">
        <v>1991</v>
      </c>
      <c r="C406">
        <f>COUNTIFS(fin_table[Branch Code],B406,fin_table[[loan Default ]], "Default")</f>
        <v>1</v>
      </c>
      <c r="D406">
        <f>COUNTIFS(fin_table[Branch Code],B406,fin_table[[loan Default ]], "Default")</f>
        <v>1</v>
      </c>
      <c r="K406" t="str">
        <v>BR830</v>
      </c>
      <c r="L406">
        <f>COUNTIFS(fin_table[Branch Code],K406,fin_table[Risk Level],"High-Risk")</f>
        <v>1</v>
      </c>
    </row>
    <row r="407" spans="2:12" x14ac:dyDescent="0.35">
      <c r="B407" t="s">
        <v>1995</v>
      </c>
      <c r="C407">
        <f>COUNTIFS(fin_table[Branch Code],B407,fin_table[[loan Default ]], "Default")</f>
        <v>1</v>
      </c>
      <c r="D407">
        <f>COUNTIFS(fin_table[Branch Code],B407,fin_table[[loan Default ]], "Default")</f>
        <v>1</v>
      </c>
      <c r="K407" t="str">
        <v>BR668</v>
      </c>
      <c r="L407">
        <f>COUNTIFS(fin_table[Branch Code],K407,fin_table[Risk Level],"High-Risk")</f>
        <v>0</v>
      </c>
    </row>
    <row r="408" spans="2:12" x14ac:dyDescent="0.35">
      <c r="B408" t="s">
        <v>1999</v>
      </c>
      <c r="C408">
        <f>COUNTIFS(fin_table[Branch Code],B408,fin_table[[loan Default ]], "Default")</f>
        <v>0</v>
      </c>
      <c r="D408">
        <f>COUNTIFS(fin_table[Branch Code],B408,fin_table[[loan Default ]], "Default")</f>
        <v>0</v>
      </c>
      <c r="K408" t="str">
        <v>BR894</v>
      </c>
      <c r="L408">
        <f>COUNTIFS(fin_table[Branch Code],K408,fin_table[Risk Level],"High-Risk")</f>
        <v>0</v>
      </c>
    </row>
    <row r="409" spans="2:12" x14ac:dyDescent="0.35">
      <c r="B409" t="s">
        <v>2003</v>
      </c>
      <c r="C409">
        <f>COUNTIFS(fin_table[Branch Code],B409,fin_table[[loan Default ]], "Default")</f>
        <v>1</v>
      </c>
      <c r="D409">
        <f>COUNTIFS(fin_table[Branch Code],B409,fin_table[[loan Default ]], "Default")</f>
        <v>1</v>
      </c>
      <c r="K409" t="str">
        <v>BR724</v>
      </c>
      <c r="L409">
        <f>COUNTIFS(fin_table[Branch Code],K409,fin_table[Risk Level],"High-Risk")</f>
        <v>0</v>
      </c>
    </row>
    <row r="410" spans="2:12" x14ac:dyDescent="0.35">
      <c r="B410" t="s">
        <v>2010</v>
      </c>
      <c r="C410">
        <f>COUNTIFS(fin_table[Branch Code],B410,fin_table[[loan Default ]], "Default")</f>
        <v>0</v>
      </c>
      <c r="D410">
        <f>COUNTIFS(fin_table[Branch Code],B410,fin_table[[loan Default ]], "Default")</f>
        <v>0</v>
      </c>
      <c r="K410" t="str">
        <v>BR682</v>
      </c>
      <c r="L410">
        <f>COUNTIFS(fin_table[Branch Code],K410,fin_table[Risk Level],"High-Risk")</f>
        <v>0</v>
      </c>
    </row>
    <row r="411" spans="2:12" x14ac:dyDescent="0.35">
      <c r="B411" t="s">
        <v>2013</v>
      </c>
      <c r="C411">
        <f>COUNTIFS(fin_table[Branch Code],B411,fin_table[[loan Default ]], "Default")</f>
        <v>0</v>
      </c>
      <c r="D411">
        <f>COUNTIFS(fin_table[Branch Code],B411,fin_table[[loan Default ]], "Default")</f>
        <v>0</v>
      </c>
      <c r="K411" t="str">
        <v>BR182</v>
      </c>
      <c r="L411">
        <f>COUNTIFS(fin_table[Branch Code],K411,fin_table[Risk Level],"High-Risk")</f>
        <v>0</v>
      </c>
    </row>
    <row r="412" spans="2:12" x14ac:dyDescent="0.35">
      <c r="B412" t="s">
        <v>2017</v>
      </c>
      <c r="C412">
        <f>COUNTIFS(fin_table[Branch Code],B412,fin_table[[loan Default ]], "Default")</f>
        <v>1</v>
      </c>
      <c r="D412">
        <f>COUNTIFS(fin_table[Branch Code],B412,fin_table[[loan Default ]], "Default")</f>
        <v>1</v>
      </c>
      <c r="K412" t="str">
        <v>BR156</v>
      </c>
      <c r="L412">
        <f>COUNTIFS(fin_table[Branch Code],K412,fin_table[Risk Level],"High-Risk")</f>
        <v>0</v>
      </c>
    </row>
    <row r="413" spans="2:12" x14ac:dyDescent="0.35">
      <c r="B413" t="s">
        <v>2021</v>
      </c>
      <c r="C413">
        <f>COUNTIFS(fin_table[Branch Code],B413,fin_table[[loan Default ]], "Default")</f>
        <v>1</v>
      </c>
      <c r="D413">
        <f>COUNTIFS(fin_table[Branch Code],B413,fin_table[[loan Default ]], "Default")</f>
        <v>1</v>
      </c>
      <c r="K413" t="str">
        <v>BR475</v>
      </c>
      <c r="L413">
        <f>COUNTIFS(fin_table[Branch Code],K413,fin_table[Risk Level],"High-Risk")</f>
        <v>0</v>
      </c>
    </row>
    <row r="414" spans="2:12" x14ac:dyDescent="0.35">
      <c r="B414" t="s">
        <v>2031</v>
      </c>
      <c r="C414">
        <f>COUNTIFS(fin_table[Branch Code],B414,fin_table[[loan Default ]], "Default")</f>
        <v>1</v>
      </c>
      <c r="D414">
        <f>COUNTIFS(fin_table[Branch Code],B414,fin_table[[loan Default ]], "Default")</f>
        <v>1</v>
      </c>
      <c r="K414" t="str">
        <v>BR582</v>
      </c>
      <c r="L414">
        <f>COUNTIFS(fin_table[Branch Code],K414,fin_table[Risk Level],"High-Risk")</f>
        <v>0</v>
      </c>
    </row>
    <row r="415" spans="2:12" x14ac:dyDescent="0.35">
      <c r="B415" t="s">
        <v>2035</v>
      </c>
      <c r="C415">
        <f>COUNTIFS(fin_table[Branch Code],B415,fin_table[[loan Default ]], "Default")</f>
        <v>0</v>
      </c>
      <c r="D415">
        <f>COUNTIFS(fin_table[Branch Code],B415,fin_table[[loan Default ]], "Default")</f>
        <v>0</v>
      </c>
      <c r="K415" t="str">
        <v>BR210</v>
      </c>
      <c r="L415">
        <f>COUNTIFS(fin_table[Branch Code],K415,fin_table[Risk Level],"High-Risk")</f>
        <v>0</v>
      </c>
    </row>
    <row r="416" spans="2:12" x14ac:dyDescent="0.35">
      <c r="B416" t="s">
        <v>2039</v>
      </c>
      <c r="C416">
        <f>COUNTIFS(fin_table[Branch Code],B416,fin_table[[loan Default ]], "Default")</f>
        <v>1</v>
      </c>
      <c r="D416">
        <f>COUNTIFS(fin_table[Branch Code],B416,fin_table[[loan Default ]], "Default")</f>
        <v>1</v>
      </c>
      <c r="K416" t="str">
        <v>BR968</v>
      </c>
      <c r="L416">
        <f>COUNTIFS(fin_table[Branch Code],K416,fin_table[Risk Level],"High-Risk")</f>
        <v>0</v>
      </c>
    </row>
    <row r="417" spans="2:12" x14ac:dyDescent="0.35">
      <c r="B417" t="s">
        <v>2055</v>
      </c>
      <c r="C417">
        <f>COUNTIFS(fin_table[Branch Code],B417,fin_table[[loan Default ]], "Default")</f>
        <v>0</v>
      </c>
      <c r="D417">
        <f>COUNTIFS(fin_table[Branch Code],B417,fin_table[[loan Default ]], "Default")</f>
        <v>0</v>
      </c>
      <c r="K417" t="str">
        <v>BR742</v>
      </c>
      <c r="L417">
        <f>COUNTIFS(fin_table[Branch Code],K417,fin_table[Risk Level],"High-Risk")</f>
        <v>0</v>
      </c>
    </row>
    <row r="418" spans="2:12" x14ac:dyDescent="0.35">
      <c r="B418" t="s">
        <v>2059</v>
      </c>
      <c r="C418">
        <f>COUNTIFS(fin_table[Branch Code],B418,fin_table[[loan Default ]], "Default")</f>
        <v>1</v>
      </c>
      <c r="D418">
        <f>COUNTIFS(fin_table[Branch Code],B418,fin_table[[loan Default ]], "Default")</f>
        <v>1</v>
      </c>
      <c r="K418" t="str">
        <v>BR428</v>
      </c>
      <c r="L418">
        <f>COUNTIFS(fin_table[Branch Code],K418,fin_table[Risk Level],"High-Risk")</f>
        <v>0</v>
      </c>
    </row>
    <row r="419" spans="2:12" x14ac:dyDescent="0.35">
      <c r="B419" t="s">
        <v>2063</v>
      </c>
      <c r="C419">
        <f>COUNTIFS(fin_table[Branch Code],B419,fin_table[[loan Default ]], "Default")</f>
        <v>1</v>
      </c>
      <c r="D419">
        <f>COUNTIFS(fin_table[Branch Code],B419,fin_table[[loan Default ]], "Default")</f>
        <v>1</v>
      </c>
      <c r="K419" t="str">
        <v>BR221</v>
      </c>
      <c r="L419">
        <f>COUNTIFS(fin_table[Branch Code],K419,fin_table[Risk Level],"High-Risk")</f>
        <v>0</v>
      </c>
    </row>
    <row r="420" spans="2:12" x14ac:dyDescent="0.35">
      <c r="B420" t="s">
        <v>2067</v>
      </c>
      <c r="C420">
        <f>COUNTIFS(fin_table[Branch Code],B420,fin_table[[loan Default ]], "Default")</f>
        <v>0</v>
      </c>
      <c r="D420">
        <f>COUNTIFS(fin_table[Branch Code],B420,fin_table[[loan Default ]], "Default")</f>
        <v>0</v>
      </c>
      <c r="K420" t="str">
        <v>BR140</v>
      </c>
      <c r="L420">
        <f>COUNTIFS(fin_table[Branch Code],K420,fin_table[Risk Level],"High-Risk")</f>
        <v>0</v>
      </c>
    </row>
    <row r="421" spans="2:12" x14ac:dyDescent="0.35">
      <c r="B421" t="s">
        <v>2074</v>
      </c>
      <c r="C421">
        <f>COUNTIFS(fin_table[Branch Code],B421,fin_table[[loan Default ]], "Default")</f>
        <v>1</v>
      </c>
      <c r="D421">
        <f>COUNTIFS(fin_table[Branch Code],B421,fin_table[[loan Default ]], "Default")</f>
        <v>1</v>
      </c>
      <c r="K421" t="str">
        <v>BR741</v>
      </c>
      <c r="L421">
        <f>COUNTIFS(fin_table[Branch Code],K421,fin_table[Risk Level],"High-Risk")</f>
        <v>0</v>
      </c>
    </row>
    <row r="422" spans="2:12" x14ac:dyDescent="0.35">
      <c r="B422" t="s">
        <v>2080</v>
      </c>
      <c r="C422">
        <f>COUNTIFS(fin_table[Branch Code],B422,fin_table[[loan Default ]], "Default")</f>
        <v>1</v>
      </c>
      <c r="D422">
        <f>COUNTIFS(fin_table[Branch Code],B422,fin_table[[loan Default ]], "Default")</f>
        <v>1</v>
      </c>
      <c r="K422" t="str">
        <v>BR378</v>
      </c>
      <c r="L422">
        <f>COUNTIFS(fin_table[Branch Code],K422,fin_table[Risk Level],"High-Risk")</f>
        <v>0</v>
      </c>
    </row>
    <row r="423" spans="2:12" x14ac:dyDescent="0.35">
      <c r="B423" t="s">
        <v>2087</v>
      </c>
      <c r="C423">
        <f>COUNTIFS(fin_table[Branch Code],B423,fin_table[[loan Default ]], "Default")</f>
        <v>0</v>
      </c>
      <c r="D423">
        <f>COUNTIFS(fin_table[Branch Code],B423,fin_table[[loan Default ]], "Default")</f>
        <v>0</v>
      </c>
      <c r="K423" t="str">
        <v>BR568</v>
      </c>
      <c r="L423">
        <f>COUNTIFS(fin_table[Branch Code],K423,fin_table[Risk Level],"High-Risk")</f>
        <v>0</v>
      </c>
    </row>
    <row r="424" spans="2:12" x14ac:dyDescent="0.35">
      <c r="B424" t="s">
        <v>2091</v>
      </c>
      <c r="C424">
        <f>COUNTIFS(fin_table[Branch Code],B424,fin_table[[loan Default ]], "Default")</f>
        <v>1</v>
      </c>
      <c r="D424">
        <f>COUNTIFS(fin_table[Branch Code],B424,fin_table[[loan Default ]], "Default")</f>
        <v>1</v>
      </c>
      <c r="K424" t="str">
        <v>BR499</v>
      </c>
      <c r="L424">
        <f>COUNTIFS(fin_table[Branch Code],K424,fin_table[Risk Level],"High-Risk")</f>
        <v>0</v>
      </c>
    </row>
    <row r="425" spans="2:12" x14ac:dyDescent="0.35">
      <c r="B425" t="s">
        <v>2098</v>
      </c>
      <c r="C425">
        <f>COUNTIFS(fin_table[Branch Code],B425,fin_table[[loan Default ]], "Default")</f>
        <v>1</v>
      </c>
      <c r="D425">
        <f>COUNTIFS(fin_table[Branch Code],B425,fin_table[[loan Default ]], "Default")</f>
        <v>1</v>
      </c>
      <c r="K425" t="str">
        <v>BR112</v>
      </c>
      <c r="L425">
        <f>COUNTIFS(fin_table[Branch Code],K425,fin_table[Risk Level],"High-Risk")</f>
        <v>0</v>
      </c>
    </row>
    <row r="426" spans="2:12" x14ac:dyDescent="0.35">
      <c r="B426" t="s">
        <v>2105</v>
      </c>
      <c r="C426">
        <f>COUNTIFS(fin_table[Branch Code],B426,fin_table[[loan Default ]], "Default")</f>
        <v>0</v>
      </c>
      <c r="D426">
        <f>COUNTIFS(fin_table[Branch Code],B426,fin_table[[loan Default ]], "Default")</f>
        <v>0</v>
      </c>
      <c r="K426" t="str">
        <v>BR931</v>
      </c>
      <c r="L426">
        <f>COUNTIFS(fin_table[Branch Code],K426,fin_table[Risk Level],"High-Risk")</f>
        <v>2</v>
      </c>
    </row>
    <row r="427" spans="2:12" x14ac:dyDescent="0.35">
      <c r="B427" t="s">
        <v>2109</v>
      </c>
      <c r="C427">
        <f>COUNTIFS(fin_table[Branch Code],B427,fin_table[[loan Default ]], "Default")</f>
        <v>1</v>
      </c>
      <c r="D427">
        <f>COUNTIFS(fin_table[Branch Code],B427,fin_table[[loan Default ]], "Default")</f>
        <v>1</v>
      </c>
      <c r="K427" t="str">
        <v>BR151</v>
      </c>
      <c r="L427">
        <f>COUNTIFS(fin_table[Branch Code],K427,fin_table[Risk Level],"High-Risk")</f>
        <v>0</v>
      </c>
    </row>
    <row r="428" spans="2:12" x14ac:dyDescent="0.35">
      <c r="B428" t="s">
        <v>2112</v>
      </c>
      <c r="C428">
        <f>COUNTIFS(fin_table[Branch Code],B428,fin_table[[loan Default ]], "Default")</f>
        <v>0</v>
      </c>
      <c r="D428">
        <f>COUNTIFS(fin_table[Branch Code],B428,fin_table[[loan Default ]], "Default")</f>
        <v>0</v>
      </c>
      <c r="K428" t="str">
        <v>BR308</v>
      </c>
      <c r="L428">
        <f>COUNTIFS(fin_table[Branch Code],K428,fin_table[Risk Level],"High-Risk")</f>
        <v>0</v>
      </c>
    </row>
    <row r="429" spans="2:12" x14ac:dyDescent="0.35">
      <c r="B429" t="s">
        <v>2119</v>
      </c>
      <c r="C429">
        <f>COUNTIFS(fin_table[Branch Code],B429,fin_table[[loan Default ]], "Default")</f>
        <v>0</v>
      </c>
      <c r="D429">
        <f>COUNTIFS(fin_table[Branch Code],B429,fin_table[[loan Default ]], "Default")</f>
        <v>0</v>
      </c>
      <c r="K429" t="str">
        <v>BR711</v>
      </c>
      <c r="L429">
        <f>COUNTIFS(fin_table[Branch Code],K429,fin_table[Risk Level],"High-Risk")</f>
        <v>0</v>
      </c>
    </row>
    <row r="430" spans="2:12" x14ac:dyDescent="0.35">
      <c r="B430" t="s">
        <v>2131</v>
      </c>
      <c r="C430">
        <f>COUNTIFS(fin_table[Branch Code],B430,fin_table[[loan Default ]], "Default")</f>
        <v>0</v>
      </c>
      <c r="D430">
        <f>COUNTIFS(fin_table[Branch Code],B430,fin_table[[loan Default ]], "Default")</f>
        <v>0</v>
      </c>
      <c r="K430" t="str">
        <v>BR150</v>
      </c>
      <c r="L430">
        <f>COUNTIFS(fin_table[Branch Code],K430,fin_table[Risk Level],"High-Risk")</f>
        <v>0</v>
      </c>
    </row>
    <row r="431" spans="2:12" x14ac:dyDescent="0.35">
      <c r="B431" t="s">
        <v>2144</v>
      </c>
      <c r="C431">
        <f>COUNTIFS(fin_table[Branch Code],B431,fin_table[[loan Default ]], "Default")</f>
        <v>0</v>
      </c>
      <c r="D431">
        <f>COUNTIFS(fin_table[Branch Code],B431,fin_table[[loan Default ]], "Default")</f>
        <v>0</v>
      </c>
      <c r="K431" t="str">
        <v>BR922</v>
      </c>
      <c r="L431">
        <f>COUNTIFS(fin_table[Branch Code],K431,fin_table[Risk Level],"High-Risk")</f>
        <v>0</v>
      </c>
    </row>
    <row r="432" spans="2:12" x14ac:dyDescent="0.35">
      <c r="B432" t="s">
        <v>2151</v>
      </c>
      <c r="C432">
        <f>COUNTIFS(fin_table[Branch Code],B432,fin_table[[loan Default ]], "Default")</f>
        <v>1</v>
      </c>
      <c r="D432">
        <f>COUNTIFS(fin_table[Branch Code],B432,fin_table[[loan Default ]], "Default")</f>
        <v>1</v>
      </c>
      <c r="K432" t="str">
        <v>BR818</v>
      </c>
      <c r="L432">
        <f>COUNTIFS(fin_table[Branch Code],K432,fin_table[Risk Level],"High-Risk")</f>
        <v>0</v>
      </c>
    </row>
    <row r="433" spans="2:12" x14ac:dyDescent="0.35">
      <c r="B433" t="s">
        <v>2155</v>
      </c>
      <c r="C433">
        <f>COUNTIFS(fin_table[Branch Code],B433,fin_table[[loan Default ]], "Default")</f>
        <v>0</v>
      </c>
      <c r="D433">
        <f>COUNTIFS(fin_table[Branch Code],B433,fin_table[[loan Default ]], "Default")</f>
        <v>0</v>
      </c>
      <c r="K433" t="str">
        <v>BR399</v>
      </c>
      <c r="L433">
        <f>COUNTIFS(fin_table[Branch Code],K433,fin_table[Risk Level],"High-Risk")</f>
        <v>0</v>
      </c>
    </row>
    <row r="434" spans="2:12" x14ac:dyDescent="0.35">
      <c r="B434" t="s">
        <v>2159</v>
      </c>
      <c r="C434">
        <f>COUNTIFS(fin_table[Branch Code],B434,fin_table[[loan Default ]], "Default")</f>
        <v>0</v>
      </c>
      <c r="D434">
        <f>COUNTIFS(fin_table[Branch Code],B434,fin_table[[loan Default ]], "Default")</f>
        <v>0</v>
      </c>
      <c r="K434" t="str">
        <v>BR721</v>
      </c>
      <c r="L434">
        <f>COUNTIFS(fin_table[Branch Code],K434,fin_table[Risk Level],"High-Risk")</f>
        <v>1</v>
      </c>
    </row>
    <row r="435" spans="2:12" x14ac:dyDescent="0.35">
      <c r="B435" t="s">
        <v>2163</v>
      </c>
      <c r="C435">
        <f>COUNTIFS(fin_table[Branch Code],B435,fin_table[[loan Default ]], "Default")</f>
        <v>0</v>
      </c>
      <c r="D435">
        <f>COUNTIFS(fin_table[Branch Code],B435,fin_table[[loan Default ]], "Default")</f>
        <v>0</v>
      </c>
      <c r="K435" t="str">
        <v>BR295</v>
      </c>
      <c r="L435">
        <f>COUNTIFS(fin_table[Branch Code],K435,fin_table[Risk Level],"High-Risk")</f>
        <v>0</v>
      </c>
    </row>
    <row r="436" spans="2:12" x14ac:dyDescent="0.35">
      <c r="B436" t="s">
        <v>2167</v>
      </c>
      <c r="C436">
        <f>COUNTIFS(fin_table[Branch Code],B436,fin_table[[loan Default ]], "Default")</f>
        <v>1</v>
      </c>
      <c r="D436">
        <f>COUNTIFS(fin_table[Branch Code],B436,fin_table[[loan Default ]], "Default")</f>
        <v>1</v>
      </c>
      <c r="K436" t="str">
        <v>BR516</v>
      </c>
      <c r="L436">
        <f>COUNTIFS(fin_table[Branch Code],K436,fin_table[Risk Level],"High-Risk")</f>
        <v>1</v>
      </c>
    </row>
    <row r="437" spans="2:12" x14ac:dyDescent="0.35">
      <c r="B437" t="s">
        <v>2171</v>
      </c>
      <c r="C437">
        <f>COUNTIFS(fin_table[Branch Code],B437,fin_table[[loan Default ]], "Default")</f>
        <v>1</v>
      </c>
      <c r="D437">
        <f>COUNTIFS(fin_table[Branch Code],B437,fin_table[[loan Default ]], "Default")</f>
        <v>1</v>
      </c>
      <c r="K437" t="str">
        <v>BR763</v>
      </c>
      <c r="L437">
        <f>COUNTIFS(fin_table[Branch Code],K437,fin_table[Risk Level],"High-Risk")</f>
        <v>0</v>
      </c>
    </row>
    <row r="438" spans="2:12" x14ac:dyDescent="0.35">
      <c r="B438" t="s">
        <v>2178</v>
      </c>
      <c r="C438">
        <f>COUNTIFS(fin_table[Branch Code],B438,fin_table[[loan Default ]], "Default")</f>
        <v>0</v>
      </c>
      <c r="D438">
        <f>COUNTIFS(fin_table[Branch Code],B438,fin_table[[loan Default ]], "Default")</f>
        <v>0</v>
      </c>
      <c r="K438" t="str">
        <v>BR854</v>
      </c>
      <c r="L438">
        <f>COUNTIFS(fin_table[Branch Code],K438,fin_table[Risk Level],"High-Risk")</f>
        <v>0</v>
      </c>
    </row>
    <row r="439" spans="2:12" x14ac:dyDescent="0.35">
      <c r="B439" t="s">
        <v>2182</v>
      </c>
      <c r="C439">
        <f>COUNTIFS(fin_table[Branch Code],B439,fin_table[[loan Default ]], "Default")</f>
        <v>1</v>
      </c>
      <c r="D439">
        <f>COUNTIFS(fin_table[Branch Code],B439,fin_table[[loan Default ]], "Default")</f>
        <v>1</v>
      </c>
      <c r="K439" t="str">
        <v>BR739</v>
      </c>
      <c r="L439">
        <f>COUNTIFS(fin_table[Branch Code],K439,fin_table[Risk Level],"High-Risk")</f>
        <v>0</v>
      </c>
    </row>
    <row r="440" spans="2:12" x14ac:dyDescent="0.35">
      <c r="B440" t="s">
        <v>2195</v>
      </c>
      <c r="C440">
        <f>COUNTIFS(fin_table[Branch Code],B440,fin_table[[loan Default ]], "Default")</f>
        <v>0</v>
      </c>
      <c r="D440">
        <f>COUNTIFS(fin_table[Branch Code],B440,fin_table[[loan Default ]], "Default")</f>
        <v>0</v>
      </c>
      <c r="K440" t="str">
        <v>BR247</v>
      </c>
      <c r="L440">
        <f>COUNTIFS(fin_table[Branch Code],K440,fin_table[Risk Level],"High-Risk")</f>
        <v>0</v>
      </c>
    </row>
    <row r="441" spans="2:12" x14ac:dyDescent="0.35">
      <c r="B441" t="s">
        <v>2199</v>
      </c>
      <c r="C441">
        <f>COUNTIFS(fin_table[Branch Code],B441,fin_table[[loan Default ]], "Default")</f>
        <v>3</v>
      </c>
      <c r="D441">
        <f>COUNTIFS(fin_table[Branch Code],B441,fin_table[[loan Default ]], "Default")</f>
        <v>3</v>
      </c>
      <c r="K441" t="str">
        <v>BR464</v>
      </c>
      <c r="L441">
        <f>COUNTIFS(fin_table[Branch Code],K441,fin_table[Risk Level],"High-Risk")</f>
        <v>0</v>
      </c>
    </row>
    <row r="442" spans="2:12" x14ac:dyDescent="0.35">
      <c r="B442" t="s">
        <v>2203</v>
      </c>
      <c r="C442">
        <f>COUNTIFS(fin_table[Branch Code],B442,fin_table[[loan Default ]], "Default")</f>
        <v>1</v>
      </c>
      <c r="D442">
        <f>COUNTIFS(fin_table[Branch Code],B442,fin_table[[loan Default ]], "Default")</f>
        <v>1</v>
      </c>
      <c r="K442" t="str">
        <v>BR463</v>
      </c>
      <c r="L442">
        <f>COUNTIFS(fin_table[Branch Code],K442,fin_table[Risk Level],"High-Risk")</f>
        <v>0</v>
      </c>
    </row>
    <row r="443" spans="2:12" x14ac:dyDescent="0.35">
      <c r="B443" t="s">
        <v>2207</v>
      </c>
      <c r="C443">
        <f>COUNTIFS(fin_table[Branch Code],B443,fin_table[[loan Default ]], "Default")</f>
        <v>1</v>
      </c>
      <c r="D443">
        <f>COUNTIFS(fin_table[Branch Code],B443,fin_table[[loan Default ]], "Default")</f>
        <v>1</v>
      </c>
      <c r="K443" t="str">
        <v>BR751</v>
      </c>
      <c r="L443">
        <f>COUNTIFS(fin_table[Branch Code],K443,fin_table[Risk Level],"High-Risk")</f>
        <v>1</v>
      </c>
    </row>
    <row r="444" spans="2:12" x14ac:dyDescent="0.35">
      <c r="B444" t="s">
        <v>2220</v>
      </c>
      <c r="C444">
        <f>COUNTIFS(fin_table[Branch Code],B444,fin_table[[loan Default ]], "Default")</f>
        <v>1</v>
      </c>
      <c r="D444">
        <f>COUNTIFS(fin_table[Branch Code],B444,fin_table[[loan Default ]], "Default")</f>
        <v>1</v>
      </c>
      <c r="K444" t="str">
        <v>BR591</v>
      </c>
      <c r="L444">
        <f>COUNTIFS(fin_table[Branch Code],K444,fin_table[Risk Level],"High-Risk")</f>
        <v>1</v>
      </c>
    </row>
    <row r="445" spans="2:12" x14ac:dyDescent="0.35">
      <c r="B445" t="s">
        <v>2224</v>
      </c>
      <c r="C445">
        <f>COUNTIFS(fin_table[Branch Code],B445,fin_table[[loan Default ]], "Default")</f>
        <v>0</v>
      </c>
      <c r="D445">
        <f>COUNTIFS(fin_table[Branch Code],B445,fin_table[[loan Default ]], "Default")</f>
        <v>0</v>
      </c>
      <c r="K445" t="str">
        <v>BR328</v>
      </c>
      <c r="L445">
        <f>COUNTIFS(fin_table[Branch Code],K445,fin_table[Risk Level],"High-Risk")</f>
        <v>0</v>
      </c>
    </row>
    <row r="446" spans="2:12" x14ac:dyDescent="0.35">
      <c r="B446" t="s">
        <v>2228</v>
      </c>
      <c r="C446">
        <f>COUNTIFS(fin_table[Branch Code],B446,fin_table[[loan Default ]], "Default")</f>
        <v>1</v>
      </c>
      <c r="D446">
        <f>COUNTIFS(fin_table[Branch Code],B446,fin_table[[loan Default ]], "Default")</f>
        <v>1</v>
      </c>
      <c r="K446" t="str">
        <v>BR674</v>
      </c>
      <c r="L446">
        <f>COUNTIFS(fin_table[Branch Code],K446,fin_table[Risk Level],"High-Risk")</f>
        <v>0</v>
      </c>
    </row>
    <row r="447" spans="2:12" x14ac:dyDescent="0.35">
      <c r="B447" t="s">
        <v>2235</v>
      </c>
      <c r="C447">
        <f>COUNTIFS(fin_table[Branch Code],B447,fin_table[[loan Default ]], "Default")</f>
        <v>0</v>
      </c>
      <c r="D447">
        <f>COUNTIFS(fin_table[Branch Code],B447,fin_table[[loan Default ]], "Default")</f>
        <v>0</v>
      </c>
      <c r="K447" t="str">
        <v>BR636</v>
      </c>
      <c r="L447">
        <f>COUNTIFS(fin_table[Branch Code],K447,fin_table[Risk Level],"High-Risk")</f>
        <v>0</v>
      </c>
    </row>
    <row r="448" spans="2:12" x14ac:dyDescent="0.35">
      <c r="B448" t="s">
        <v>2242</v>
      </c>
      <c r="C448">
        <f>COUNTIFS(fin_table[Branch Code],B448,fin_table[[loan Default ]], "Default")</f>
        <v>0</v>
      </c>
      <c r="D448">
        <f>COUNTIFS(fin_table[Branch Code],B448,fin_table[[loan Default ]], "Default")</f>
        <v>0</v>
      </c>
      <c r="K448" t="str">
        <v>BR504</v>
      </c>
      <c r="L448">
        <f>COUNTIFS(fin_table[Branch Code],K448,fin_table[Risk Level],"High-Risk")</f>
        <v>0</v>
      </c>
    </row>
    <row r="449" spans="2:12" x14ac:dyDescent="0.35">
      <c r="B449" t="s">
        <v>2249</v>
      </c>
      <c r="C449">
        <f>COUNTIFS(fin_table[Branch Code],B449,fin_table[[loan Default ]], "Default")</f>
        <v>2</v>
      </c>
      <c r="D449">
        <f>COUNTIFS(fin_table[Branch Code],B449,fin_table[[loan Default ]], "Default")</f>
        <v>2</v>
      </c>
      <c r="K449" t="str">
        <v>BR110</v>
      </c>
      <c r="L449">
        <f>COUNTIFS(fin_table[Branch Code],K449,fin_table[Risk Level],"High-Risk")</f>
        <v>0</v>
      </c>
    </row>
    <row r="450" spans="2:12" x14ac:dyDescent="0.35">
      <c r="B450" t="s">
        <v>2259</v>
      </c>
      <c r="C450">
        <f>COUNTIFS(fin_table[Branch Code],B450,fin_table[[loan Default ]], "Default")</f>
        <v>1</v>
      </c>
      <c r="D450">
        <f>COUNTIFS(fin_table[Branch Code],B450,fin_table[[loan Default ]], "Default")</f>
        <v>1</v>
      </c>
      <c r="K450" t="str">
        <v>BR225</v>
      </c>
      <c r="L450">
        <f>COUNTIFS(fin_table[Branch Code],K450,fin_table[Risk Level],"High-Risk")</f>
        <v>0</v>
      </c>
    </row>
    <row r="451" spans="2:12" x14ac:dyDescent="0.35">
      <c r="B451" t="s">
        <v>2269</v>
      </c>
      <c r="C451">
        <f>COUNTIFS(fin_table[Branch Code],B451,fin_table[[loan Default ]], "Default")</f>
        <v>1</v>
      </c>
      <c r="D451">
        <f>COUNTIFS(fin_table[Branch Code],B451,fin_table[[loan Default ]], "Default")</f>
        <v>1</v>
      </c>
      <c r="K451" t="str">
        <v>BR610</v>
      </c>
      <c r="L451">
        <f>COUNTIFS(fin_table[Branch Code],K451,fin_table[Risk Level],"High-Risk")</f>
        <v>0</v>
      </c>
    </row>
    <row r="452" spans="2:12" x14ac:dyDescent="0.35">
      <c r="B452" t="s">
        <v>2273</v>
      </c>
      <c r="C452">
        <f>COUNTIFS(fin_table[Branch Code],B452,fin_table[[loan Default ]], "Default")</f>
        <v>1</v>
      </c>
      <c r="D452">
        <f>COUNTIFS(fin_table[Branch Code],B452,fin_table[[loan Default ]], "Default")</f>
        <v>1</v>
      </c>
      <c r="K452" t="str">
        <v>BR188</v>
      </c>
      <c r="L452">
        <f>COUNTIFS(fin_table[Branch Code],K452,fin_table[Risk Level],"High-Risk")</f>
        <v>0</v>
      </c>
    </row>
    <row r="453" spans="2:12" x14ac:dyDescent="0.35">
      <c r="B453" t="s">
        <v>2277</v>
      </c>
      <c r="C453">
        <f>COUNTIFS(fin_table[Branch Code],B453,fin_table[[loan Default ]], "Default")</f>
        <v>1</v>
      </c>
      <c r="D453">
        <f>COUNTIFS(fin_table[Branch Code],B453,fin_table[[loan Default ]], "Default")</f>
        <v>1</v>
      </c>
      <c r="K453" t="str">
        <v>BR454</v>
      </c>
      <c r="L453">
        <f>COUNTIFS(fin_table[Branch Code],K453,fin_table[Risk Level],"High-Risk")</f>
        <v>0</v>
      </c>
    </row>
    <row r="454" spans="2:12" x14ac:dyDescent="0.35">
      <c r="B454" t="s">
        <v>2287</v>
      </c>
      <c r="C454">
        <f>COUNTIFS(fin_table[Branch Code],B454,fin_table[[loan Default ]], "Default")</f>
        <v>0</v>
      </c>
      <c r="D454">
        <f>COUNTIFS(fin_table[Branch Code],B454,fin_table[[loan Default ]], "Default")</f>
        <v>0</v>
      </c>
      <c r="K454" t="str">
        <v>BR788</v>
      </c>
      <c r="L454">
        <f>COUNTIFS(fin_table[Branch Code],K454,fin_table[Risk Level],"High-Risk")</f>
        <v>0</v>
      </c>
    </row>
    <row r="455" spans="2:12" x14ac:dyDescent="0.35">
      <c r="B455" t="s">
        <v>2293</v>
      </c>
      <c r="C455">
        <f>COUNTIFS(fin_table[Branch Code],B455,fin_table[[loan Default ]], "Default")</f>
        <v>0</v>
      </c>
      <c r="D455">
        <f>COUNTIFS(fin_table[Branch Code],B455,fin_table[[loan Default ]], "Default")</f>
        <v>0</v>
      </c>
      <c r="K455" t="str">
        <v>BR356</v>
      </c>
      <c r="L455">
        <f>COUNTIFS(fin_table[Branch Code],K455,fin_table[Risk Level],"High-Risk")</f>
        <v>1</v>
      </c>
    </row>
    <row r="456" spans="2:12" x14ac:dyDescent="0.35">
      <c r="B456" t="s">
        <v>2301</v>
      </c>
      <c r="C456">
        <f>COUNTIFS(fin_table[Branch Code],B456,fin_table[[loan Default ]], "Default")</f>
        <v>0</v>
      </c>
      <c r="D456">
        <f>COUNTIFS(fin_table[Branch Code],B456,fin_table[[loan Default ]], "Default")</f>
        <v>0</v>
      </c>
      <c r="K456" t="str">
        <v>BR542</v>
      </c>
      <c r="L456">
        <f>COUNTIFS(fin_table[Branch Code],K456,fin_table[Risk Level],"High-Risk")</f>
        <v>0</v>
      </c>
    </row>
    <row r="457" spans="2:12" x14ac:dyDescent="0.35">
      <c r="B457" t="s">
        <v>2310</v>
      </c>
      <c r="C457">
        <f>COUNTIFS(fin_table[Branch Code],B457,fin_table[[loan Default ]], "Default")</f>
        <v>0</v>
      </c>
      <c r="D457">
        <f>COUNTIFS(fin_table[Branch Code],B457,fin_table[[loan Default ]], "Default")</f>
        <v>0</v>
      </c>
      <c r="K457" t="str">
        <v>BR488</v>
      </c>
      <c r="L457">
        <f>COUNTIFS(fin_table[Branch Code],K457,fin_table[Risk Level],"High-Risk")</f>
        <v>0</v>
      </c>
    </row>
    <row r="458" spans="2:12" x14ac:dyDescent="0.35">
      <c r="B458" t="s">
        <v>2329</v>
      </c>
      <c r="C458">
        <f>COUNTIFS(fin_table[Branch Code],B458,fin_table[[loan Default ]], "Default")</f>
        <v>1</v>
      </c>
      <c r="D458">
        <f>COUNTIFS(fin_table[Branch Code],B458,fin_table[[loan Default ]], "Default")</f>
        <v>1</v>
      </c>
      <c r="K458" t="str">
        <v>BR729</v>
      </c>
      <c r="L458">
        <f>COUNTIFS(fin_table[Branch Code],K458,fin_table[Risk Level],"High-Risk")</f>
        <v>0</v>
      </c>
    </row>
    <row r="459" spans="2:12" x14ac:dyDescent="0.35">
      <c r="B459" t="s">
        <v>2335</v>
      </c>
      <c r="C459">
        <f>COUNTIFS(fin_table[Branch Code],B459,fin_table[[loan Default ]], "Default")</f>
        <v>0</v>
      </c>
      <c r="D459">
        <f>COUNTIFS(fin_table[Branch Code],B459,fin_table[[loan Default ]], "Default")</f>
        <v>0</v>
      </c>
      <c r="K459" t="str">
        <v>BR533</v>
      </c>
      <c r="L459">
        <f>COUNTIFS(fin_table[Branch Code],K459,fin_table[Risk Level],"High-Risk")</f>
        <v>0</v>
      </c>
    </row>
    <row r="460" spans="2:12" x14ac:dyDescent="0.35">
      <c r="B460" t="s">
        <v>2345</v>
      </c>
      <c r="C460">
        <f>COUNTIFS(fin_table[Branch Code],B460,fin_table[[loan Default ]], "Default")</f>
        <v>0</v>
      </c>
      <c r="D460">
        <f>COUNTIFS(fin_table[Branch Code],B460,fin_table[[loan Default ]], "Default")</f>
        <v>0</v>
      </c>
      <c r="K460" t="str">
        <v>BR485</v>
      </c>
      <c r="L460">
        <f>COUNTIFS(fin_table[Branch Code],K460,fin_table[Risk Level],"High-Risk")</f>
        <v>0</v>
      </c>
    </row>
    <row r="461" spans="2:12" x14ac:dyDescent="0.35">
      <c r="B461" t="s">
        <v>2354</v>
      </c>
      <c r="C461">
        <f>COUNTIFS(fin_table[Branch Code],B461,fin_table[[loan Default ]], "Default")</f>
        <v>1</v>
      </c>
      <c r="D461">
        <f>COUNTIFS(fin_table[Branch Code],B461,fin_table[[loan Default ]], "Default")</f>
        <v>1</v>
      </c>
      <c r="K461" t="str">
        <v>BR445</v>
      </c>
      <c r="L461">
        <f>COUNTIFS(fin_table[Branch Code],K461,fin_table[Risk Level],"High-Risk")</f>
        <v>1</v>
      </c>
    </row>
    <row r="462" spans="2:12" x14ac:dyDescent="0.35">
      <c r="B462" t="s">
        <v>2358</v>
      </c>
      <c r="C462">
        <f>COUNTIFS(fin_table[Branch Code],B462,fin_table[[loan Default ]], "Default")</f>
        <v>1</v>
      </c>
      <c r="D462">
        <f>COUNTIFS(fin_table[Branch Code],B462,fin_table[[loan Default ]], "Default")</f>
        <v>1</v>
      </c>
      <c r="K462" t="str">
        <v>BR797</v>
      </c>
      <c r="L462">
        <f>COUNTIFS(fin_table[Branch Code],K462,fin_table[Risk Level],"High-Risk")</f>
        <v>0</v>
      </c>
    </row>
    <row r="463" spans="2:12" x14ac:dyDescent="0.35">
      <c r="B463" t="s">
        <v>2368</v>
      </c>
      <c r="C463">
        <f>COUNTIFS(fin_table[Branch Code],B463,fin_table[[loan Default ]], "Default")</f>
        <v>0</v>
      </c>
      <c r="D463">
        <f>COUNTIFS(fin_table[Branch Code],B463,fin_table[[loan Default ]], "Default")</f>
        <v>0</v>
      </c>
      <c r="K463" t="str">
        <v>BR306</v>
      </c>
      <c r="L463">
        <f>COUNTIFS(fin_table[Branch Code],K463,fin_table[Risk Level],"High-Risk")</f>
        <v>0</v>
      </c>
    </row>
    <row r="464" spans="2:12" x14ac:dyDescent="0.35">
      <c r="B464" t="s">
        <v>2372</v>
      </c>
      <c r="C464">
        <f>COUNTIFS(fin_table[Branch Code],B464,fin_table[[loan Default ]], "Default")</f>
        <v>0</v>
      </c>
      <c r="D464">
        <f>COUNTIFS(fin_table[Branch Code],B464,fin_table[[loan Default ]], "Default")</f>
        <v>0</v>
      </c>
      <c r="K464" t="str">
        <v>BR957</v>
      </c>
      <c r="L464">
        <f>COUNTIFS(fin_table[Branch Code],K464,fin_table[Risk Level],"High-Risk")</f>
        <v>0</v>
      </c>
    </row>
    <row r="465" spans="2:12" x14ac:dyDescent="0.35">
      <c r="B465" t="s">
        <v>2376</v>
      </c>
      <c r="C465">
        <f>COUNTIFS(fin_table[Branch Code],B465,fin_table[[loan Default ]], "Default")</f>
        <v>0</v>
      </c>
      <c r="D465">
        <f>COUNTIFS(fin_table[Branch Code],B465,fin_table[[loan Default ]], "Default")</f>
        <v>0</v>
      </c>
      <c r="K465" t="str">
        <v>BR271</v>
      </c>
      <c r="L465">
        <f>COUNTIFS(fin_table[Branch Code],K465,fin_table[Risk Level],"High-Risk")</f>
        <v>0</v>
      </c>
    </row>
    <row r="466" spans="2:12" x14ac:dyDescent="0.35">
      <c r="B466" t="s">
        <v>2386</v>
      </c>
      <c r="C466">
        <f>COUNTIFS(fin_table[Branch Code],B466,fin_table[[loan Default ]], "Default")</f>
        <v>2</v>
      </c>
      <c r="D466">
        <f>COUNTIFS(fin_table[Branch Code],B466,fin_table[[loan Default ]], "Default")</f>
        <v>2</v>
      </c>
      <c r="K466" t="str">
        <v>BR320</v>
      </c>
      <c r="L466">
        <f>COUNTIFS(fin_table[Branch Code],K466,fin_table[Risk Level],"High-Risk")</f>
        <v>0</v>
      </c>
    </row>
    <row r="467" spans="2:12" x14ac:dyDescent="0.35">
      <c r="B467" t="s">
        <v>2396</v>
      </c>
      <c r="C467">
        <f>COUNTIFS(fin_table[Branch Code],B467,fin_table[[loan Default ]], "Default")</f>
        <v>0</v>
      </c>
      <c r="D467">
        <f>COUNTIFS(fin_table[Branch Code],B467,fin_table[[loan Default ]], "Default")</f>
        <v>0</v>
      </c>
      <c r="K467" t="str">
        <v>BR282</v>
      </c>
      <c r="L467">
        <f>COUNTIFS(fin_table[Branch Code],K467,fin_table[Risk Level],"High-Risk")</f>
        <v>0</v>
      </c>
    </row>
    <row r="468" spans="2:12" x14ac:dyDescent="0.35">
      <c r="B468" t="s">
        <v>2400</v>
      </c>
      <c r="C468">
        <f>COUNTIFS(fin_table[Branch Code],B468,fin_table[[loan Default ]], "Default")</f>
        <v>0</v>
      </c>
      <c r="D468">
        <f>COUNTIFS(fin_table[Branch Code],B468,fin_table[[loan Default ]], "Default")</f>
        <v>0</v>
      </c>
      <c r="K468" t="str">
        <v>BR498</v>
      </c>
      <c r="L468">
        <f>COUNTIFS(fin_table[Branch Code],K468,fin_table[Risk Level],"High-Risk")</f>
        <v>0</v>
      </c>
    </row>
    <row r="469" spans="2:12" x14ac:dyDescent="0.35">
      <c r="B469" t="s">
        <v>2407</v>
      </c>
      <c r="C469">
        <f>COUNTIFS(fin_table[Branch Code],B469,fin_table[[loan Default ]], "Default")</f>
        <v>1</v>
      </c>
      <c r="D469">
        <f>COUNTIFS(fin_table[Branch Code],B469,fin_table[[loan Default ]], "Default")</f>
        <v>1</v>
      </c>
      <c r="K469" t="str">
        <v>BR171</v>
      </c>
      <c r="L469">
        <f>COUNTIFS(fin_table[Branch Code],K469,fin_table[Risk Level],"High-Risk")</f>
        <v>0</v>
      </c>
    </row>
    <row r="470" spans="2:12" x14ac:dyDescent="0.35">
      <c r="B470" t="s">
        <v>2414</v>
      </c>
      <c r="C470">
        <f>COUNTIFS(fin_table[Branch Code],B470,fin_table[[loan Default ]], "Default")</f>
        <v>1</v>
      </c>
      <c r="D470">
        <f>COUNTIFS(fin_table[Branch Code],B470,fin_table[[loan Default ]], "Default")</f>
        <v>1</v>
      </c>
      <c r="K470" t="str">
        <v>BR997</v>
      </c>
      <c r="L470">
        <f>COUNTIFS(fin_table[Branch Code],K470,fin_table[Risk Level],"High-Risk")</f>
        <v>0</v>
      </c>
    </row>
    <row r="471" spans="2:12" x14ac:dyDescent="0.35">
      <c r="B471" t="s">
        <v>2418</v>
      </c>
      <c r="C471">
        <f>COUNTIFS(fin_table[Branch Code],B471,fin_table[[loan Default ]], "Default")</f>
        <v>0</v>
      </c>
      <c r="D471">
        <f>COUNTIFS(fin_table[Branch Code],B471,fin_table[[loan Default ]], "Default")</f>
        <v>0</v>
      </c>
      <c r="K471" t="str">
        <v>BR382</v>
      </c>
      <c r="L471">
        <f>COUNTIFS(fin_table[Branch Code],K471,fin_table[Risk Level],"High-Risk")</f>
        <v>0</v>
      </c>
    </row>
    <row r="472" spans="2:12" x14ac:dyDescent="0.35">
      <c r="B472" t="s">
        <v>2422</v>
      </c>
      <c r="C472">
        <f>COUNTIFS(fin_table[Branch Code],B472,fin_table[[loan Default ]], "Default")</f>
        <v>0</v>
      </c>
      <c r="D472">
        <f>COUNTIFS(fin_table[Branch Code],B472,fin_table[[loan Default ]], "Default")</f>
        <v>0</v>
      </c>
      <c r="K472" t="str">
        <v>BR173</v>
      </c>
      <c r="L472">
        <f>COUNTIFS(fin_table[Branch Code],K472,fin_table[Risk Level],"High-Risk")</f>
        <v>1</v>
      </c>
    </row>
    <row r="473" spans="2:12" x14ac:dyDescent="0.35">
      <c r="B473" t="s">
        <v>2429</v>
      </c>
      <c r="C473">
        <f>COUNTIFS(fin_table[Branch Code],B473,fin_table[[loan Default ]], "Default")</f>
        <v>1</v>
      </c>
      <c r="D473">
        <f>COUNTIFS(fin_table[Branch Code],B473,fin_table[[loan Default ]], "Default")</f>
        <v>1</v>
      </c>
      <c r="K473" t="str">
        <v>BR826</v>
      </c>
      <c r="L473">
        <f>COUNTIFS(fin_table[Branch Code],K473,fin_table[Risk Level],"High-Risk")</f>
        <v>0</v>
      </c>
    </row>
    <row r="474" spans="2:12" x14ac:dyDescent="0.35">
      <c r="B474" t="s">
        <v>2433</v>
      </c>
      <c r="C474">
        <f>COUNTIFS(fin_table[Branch Code],B474,fin_table[[loan Default ]], "Default")</f>
        <v>0</v>
      </c>
      <c r="D474">
        <f>COUNTIFS(fin_table[Branch Code],B474,fin_table[[loan Default ]], "Default")</f>
        <v>0</v>
      </c>
      <c r="K474" t="str">
        <v>BR596</v>
      </c>
      <c r="L474">
        <f>COUNTIFS(fin_table[Branch Code],K474,fin_table[Risk Level],"High-Risk")</f>
        <v>0</v>
      </c>
    </row>
    <row r="475" spans="2:12" x14ac:dyDescent="0.35">
      <c r="B475" t="s">
        <v>2443</v>
      </c>
      <c r="C475">
        <f>COUNTIFS(fin_table[Branch Code],B475,fin_table[[loan Default ]], "Default")</f>
        <v>0</v>
      </c>
      <c r="D475">
        <f>COUNTIFS(fin_table[Branch Code],B475,fin_table[[loan Default ]], "Default")</f>
        <v>0</v>
      </c>
      <c r="K475" t="str">
        <v>BR679</v>
      </c>
      <c r="L475">
        <f>COUNTIFS(fin_table[Branch Code],K475,fin_table[Risk Level],"High-Risk")</f>
        <v>0</v>
      </c>
    </row>
    <row r="476" spans="2:12" x14ac:dyDescent="0.35">
      <c r="B476" t="s">
        <v>2446</v>
      </c>
      <c r="C476">
        <f>COUNTIFS(fin_table[Branch Code],B476,fin_table[[loan Default ]], "Default")</f>
        <v>2</v>
      </c>
      <c r="D476">
        <f>COUNTIFS(fin_table[Branch Code],B476,fin_table[[loan Default ]], "Default")</f>
        <v>2</v>
      </c>
      <c r="K476" t="str">
        <v>BR546</v>
      </c>
      <c r="L476">
        <f>COUNTIFS(fin_table[Branch Code],K476,fin_table[Risk Level],"High-Risk")</f>
        <v>0</v>
      </c>
    </row>
    <row r="477" spans="2:12" x14ac:dyDescent="0.35">
      <c r="B477" t="s">
        <v>2450</v>
      </c>
      <c r="C477">
        <f>COUNTIFS(fin_table[Branch Code],B477,fin_table[[loan Default ]], "Default")</f>
        <v>1</v>
      </c>
      <c r="D477">
        <f>COUNTIFS(fin_table[Branch Code],B477,fin_table[[loan Default ]], "Default")</f>
        <v>1</v>
      </c>
      <c r="K477" t="str">
        <v>BR472</v>
      </c>
      <c r="L477">
        <f>COUNTIFS(fin_table[Branch Code],K477,fin_table[Risk Level],"High-Risk")</f>
        <v>0</v>
      </c>
    </row>
    <row r="478" spans="2:12" x14ac:dyDescent="0.35">
      <c r="B478" t="s">
        <v>2454</v>
      </c>
      <c r="C478">
        <f>COUNTIFS(fin_table[Branch Code],B478,fin_table[[loan Default ]], "Default")</f>
        <v>0</v>
      </c>
      <c r="D478">
        <f>COUNTIFS(fin_table[Branch Code],B478,fin_table[[loan Default ]], "Default")</f>
        <v>0</v>
      </c>
      <c r="K478" t="str">
        <v>BR461</v>
      </c>
      <c r="L478">
        <f>COUNTIFS(fin_table[Branch Code],K478,fin_table[Risk Level],"High-Risk")</f>
        <v>0</v>
      </c>
    </row>
    <row r="479" spans="2:12" x14ac:dyDescent="0.35">
      <c r="B479" t="s">
        <v>2458</v>
      </c>
      <c r="C479">
        <f>COUNTIFS(fin_table[Branch Code],B479,fin_table[[loan Default ]], "Default")</f>
        <v>0</v>
      </c>
      <c r="D479">
        <f>COUNTIFS(fin_table[Branch Code],B479,fin_table[[loan Default ]], "Default")</f>
        <v>0</v>
      </c>
      <c r="K479" t="str">
        <v>BR192</v>
      </c>
      <c r="L479">
        <f>COUNTIFS(fin_table[Branch Code],K479,fin_table[Risk Level],"High-Risk")</f>
        <v>0</v>
      </c>
    </row>
    <row r="480" spans="2:12" x14ac:dyDescent="0.35">
      <c r="B480" t="s">
        <v>2465</v>
      </c>
      <c r="C480">
        <f>COUNTIFS(fin_table[Branch Code],B480,fin_table[[loan Default ]], "Default")</f>
        <v>0</v>
      </c>
      <c r="D480">
        <f>COUNTIFS(fin_table[Branch Code],B480,fin_table[[loan Default ]], "Default")</f>
        <v>0</v>
      </c>
      <c r="K480" t="str">
        <v>BR423</v>
      </c>
      <c r="L480">
        <f>COUNTIFS(fin_table[Branch Code],K480,fin_table[Risk Level],"High-Risk")</f>
        <v>0</v>
      </c>
    </row>
    <row r="481" spans="2:12" x14ac:dyDescent="0.35">
      <c r="B481" t="s">
        <v>2469</v>
      </c>
      <c r="C481">
        <f>COUNTIFS(fin_table[Branch Code],B481,fin_table[[loan Default ]], "Default")</f>
        <v>1</v>
      </c>
      <c r="D481">
        <f>COUNTIFS(fin_table[Branch Code],B481,fin_table[[loan Default ]], "Default")</f>
        <v>1</v>
      </c>
      <c r="K481" t="str">
        <v>BR483</v>
      </c>
      <c r="L481">
        <f>COUNTIFS(fin_table[Branch Code],K481,fin_table[Risk Level],"High-Risk")</f>
        <v>0</v>
      </c>
    </row>
    <row r="482" spans="2:12" x14ac:dyDescent="0.35">
      <c r="B482" t="s">
        <v>2476</v>
      </c>
      <c r="C482">
        <f>COUNTIFS(fin_table[Branch Code],B482,fin_table[[loan Default ]], "Default")</f>
        <v>0</v>
      </c>
      <c r="D482">
        <f>COUNTIFS(fin_table[Branch Code],B482,fin_table[[loan Default ]], "Default")</f>
        <v>0</v>
      </c>
      <c r="K482" t="str">
        <v>BR835</v>
      </c>
      <c r="L482">
        <f>COUNTIFS(fin_table[Branch Code],K482,fin_table[Risk Level],"High-Risk")</f>
        <v>0</v>
      </c>
    </row>
    <row r="483" spans="2:12" x14ac:dyDescent="0.35">
      <c r="B483" t="s">
        <v>2489</v>
      </c>
      <c r="C483">
        <f>COUNTIFS(fin_table[Branch Code],B483,fin_table[[loan Default ]], "Default")</f>
        <v>0</v>
      </c>
      <c r="D483">
        <f>COUNTIFS(fin_table[Branch Code],B483,fin_table[[loan Default ]], "Default")</f>
        <v>0</v>
      </c>
      <c r="K483" t="str">
        <v>BR948</v>
      </c>
      <c r="L483">
        <f>COUNTIFS(fin_table[Branch Code],K483,fin_table[Risk Level],"High-Risk")</f>
        <v>0</v>
      </c>
    </row>
    <row r="484" spans="2:12" x14ac:dyDescent="0.35">
      <c r="B484" t="s">
        <v>2493</v>
      </c>
      <c r="C484">
        <f>COUNTIFS(fin_table[Branch Code],B484,fin_table[[loan Default ]], "Default")</f>
        <v>0</v>
      </c>
      <c r="D484">
        <f>COUNTIFS(fin_table[Branch Code],B484,fin_table[[loan Default ]], "Default")</f>
        <v>0</v>
      </c>
      <c r="K484" t="str">
        <v>BR202</v>
      </c>
      <c r="L484">
        <f>COUNTIFS(fin_table[Branch Code],K484,fin_table[Risk Level],"High-Risk")</f>
        <v>0</v>
      </c>
    </row>
    <row r="485" spans="2:12" x14ac:dyDescent="0.35">
      <c r="B485" t="s">
        <v>2503</v>
      </c>
      <c r="C485">
        <f>COUNTIFS(fin_table[Branch Code],B485,fin_table[[loan Default ]], "Default")</f>
        <v>0</v>
      </c>
      <c r="D485">
        <f>COUNTIFS(fin_table[Branch Code],B485,fin_table[[loan Default ]], "Default")</f>
        <v>0</v>
      </c>
      <c r="K485" t="str">
        <v>BR771</v>
      </c>
      <c r="L485">
        <f>COUNTIFS(fin_table[Branch Code],K485,fin_table[Risk Level],"High-Risk")</f>
        <v>0</v>
      </c>
    </row>
    <row r="486" spans="2:12" x14ac:dyDescent="0.35">
      <c r="B486" t="s">
        <v>2507</v>
      </c>
      <c r="C486">
        <f>COUNTIFS(fin_table[Branch Code],B486,fin_table[[loan Default ]], "Default")</f>
        <v>0</v>
      </c>
      <c r="D486">
        <f>COUNTIFS(fin_table[Branch Code],B486,fin_table[[loan Default ]], "Default")</f>
        <v>0</v>
      </c>
      <c r="K486" t="str">
        <v>BR983</v>
      </c>
      <c r="L486">
        <f>COUNTIFS(fin_table[Branch Code],K486,fin_table[Risk Level],"High-Risk")</f>
        <v>1</v>
      </c>
    </row>
    <row r="487" spans="2:12" x14ac:dyDescent="0.35">
      <c r="B487" t="s">
        <v>2514</v>
      </c>
      <c r="C487">
        <f>COUNTIFS(fin_table[Branch Code],B487,fin_table[[loan Default ]], "Default")</f>
        <v>0</v>
      </c>
      <c r="D487">
        <f>COUNTIFS(fin_table[Branch Code],B487,fin_table[[loan Default ]], "Default")</f>
        <v>0</v>
      </c>
      <c r="K487" t="str">
        <v>BR880</v>
      </c>
      <c r="L487">
        <f>COUNTIFS(fin_table[Branch Code],K487,fin_table[Risk Level],"High-Risk")</f>
        <v>0</v>
      </c>
    </row>
    <row r="488" spans="2:12" x14ac:dyDescent="0.35">
      <c r="B488" t="s">
        <v>2518</v>
      </c>
      <c r="C488">
        <f>COUNTIFS(fin_table[Branch Code],B488,fin_table[[loan Default ]], "Default")</f>
        <v>1</v>
      </c>
      <c r="D488">
        <f>COUNTIFS(fin_table[Branch Code],B488,fin_table[[loan Default ]], "Default")</f>
        <v>1</v>
      </c>
      <c r="K488" t="str">
        <v>BR293</v>
      </c>
      <c r="L488">
        <f>COUNTIFS(fin_table[Branch Code],K488,fin_table[Risk Level],"High-Risk")</f>
        <v>0</v>
      </c>
    </row>
    <row r="489" spans="2:12" x14ac:dyDescent="0.35">
      <c r="B489" t="s">
        <v>2525</v>
      </c>
      <c r="C489">
        <f>COUNTIFS(fin_table[Branch Code],B489,fin_table[[loan Default ]], "Default")</f>
        <v>0</v>
      </c>
      <c r="D489">
        <f>COUNTIFS(fin_table[Branch Code],B489,fin_table[[loan Default ]], "Default")</f>
        <v>0</v>
      </c>
      <c r="K489" t="str">
        <v>BR502</v>
      </c>
      <c r="L489">
        <f>COUNTIFS(fin_table[Branch Code],K489,fin_table[Risk Level],"High-Risk")</f>
        <v>0</v>
      </c>
    </row>
    <row r="490" spans="2:12" x14ac:dyDescent="0.35">
      <c r="B490" t="s">
        <v>2532</v>
      </c>
      <c r="C490">
        <f>COUNTIFS(fin_table[Branch Code],B490,fin_table[[loan Default ]], "Default")</f>
        <v>0</v>
      </c>
      <c r="D490">
        <f>COUNTIFS(fin_table[Branch Code],B490,fin_table[[loan Default ]], "Default")</f>
        <v>0</v>
      </c>
      <c r="K490" t="str">
        <v>BR848</v>
      </c>
      <c r="L490">
        <f>COUNTIFS(fin_table[Branch Code],K490,fin_table[Risk Level],"High-Risk")</f>
        <v>1</v>
      </c>
    </row>
    <row r="491" spans="2:12" x14ac:dyDescent="0.35">
      <c r="B491" t="s">
        <v>2536</v>
      </c>
      <c r="C491">
        <f>COUNTIFS(fin_table[Branch Code],B491,fin_table[[loan Default ]], "Default")</f>
        <v>0</v>
      </c>
      <c r="D491">
        <f>COUNTIFS(fin_table[Branch Code],B491,fin_table[[loan Default ]], "Default")</f>
        <v>0</v>
      </c>
      <c r="K491" t="str">
        <v>BR699</v>
      </c>
      <c r="L491">
        <f>COUNTIFS(fin_table[Branch Code],K491,fin_table[Risk Level],"High-Risk")</f>
        <v>0</v>
      </c>
    </row>
    <row r="492" spans="2:12" x14ac:dyDescent="0.35">
      <c r="B492" t="s">
        <v>2543</v>
      </c>
      <c r="C492">
        <f>COUNTIFS(fin_table[Branch Code],B492,fin_table[[loan Default ]], "Default")</f>
        <v>2</v>
      </c>
      <c r="D492">
        <f>COUNTIFS(fin_table[Branch Code],B492,fin_table[[loan Default ]], "Default")</f>
        <v>2</v>
      </c>
      <c r="K492" t="str">
        <v>BR286</v>
      </c>
      <c r="L492">
        <f>COUNTIFS(fin_table[Branch Code],K492,fin_table[Risk Level],"High-Risk")</f>
        <v>0</v>
      </c>
    </row>
    <row r="493" spans="2:12" x14ac:dyDescent="0.35">
      <c r="B493" t="s">
        <v>2547</v>
      </c>
      <c r="C493">
        <f>COUNTIFS(fin_table[Branch Code],B493,fin_table[[loan Default ]], "Default")</f>
        <v>1</v>
      </c>
      <c r="D493">
        <f>COUNTIFS(fin_table[Branch Code],B493,fin_table[[loan Default ]], "Default")</f>
        <v>1</v>
      </c>
      <c r="K493" t="str">
        <v>BR825</v>
      </c>
      <c r="L493">
        <f>COUNTIFS(fin_table[Branch Code],K493,fin_table[Risk Level],"High-Risk")</f>
        <v>0</v>
      </c>
    </row>
    <row r="494" spans="2:12" x14ac:dyDescent="0.35">
      <c r="B494" t="s">
        <v>2551</v>
      </c>
      <c r="C494">
        <f>COUNTIFS(fin_table[Branch Code],B494,fin_table[[loan Default ]], "Default")</f>
        <v>0</v>
      </c>
      <c r="D494">
        <f>COUNTIFS(fin_table[Branch Code],B494,fin_table[[loan Default ]], "Default")</f>
        <v>0</v>
      </c>
      <c r="K494" t="str">
        <v>BR114</v>
      </c>
      <c r="L494">
        <f>COUNTIFS(fin_table[Branch Code],K494,fin_table[Risk Level],"High-Risk")</f>
        <v>0</v>
      </c>
    </row>
    <row r="495" spans="2:12" x14ac:dyDescent="0.35">
      <c r="B495" t="s">
        <v>2561</v>
      </c>
      <c r="C495">
        <f>COUNTIFS(fin_table[Branch Code],B495,fin_table[[loan Default ]], "Default")</f>
        <v>0</v>
      </c>
      <c r="D495">
        <f>COUNTIFS(fin_table[Branch Code],B495,fin_table[[loan Default ]], "Default")</f>
        <v>0</v>
      </c>
      <c r="K495" t="str">
        <v>BR510</v>
      </c>
      <c r="L495">
        <f>COUNTIFS(fin_table[Branch Code],K495,fin_table[Risk Level],"High-Risk")</f>
        <v>0</v>
      </c>
    </row>
    <row r="496" spans="2:12" x14ac:dyDescent="0.35">
      <c r="B496" t="s">
        <v>2577</v>
      </c>
      <c r="C496">
        <f>COUNTIFS(fin_table[Branch Code],B496,fin_table[[loan Default ]], "Default")</f>
        <v>1</v>
      </c>
      <c r="D496">
        <f>COUNTIFS(fin_table[Branch Code],B496,fin_table[[loan Default ]], "Default")</f>
        <v>1</v>
      </c>
      <c r="K496" t="str">
        <v>BR676</v>
      </c>
      <c r="L496">
        <f>COUNTIFS(fin_table[Branch Code],K496,fin_table[Risk Level],"High-Risk")</f>
        <v>0</v>
      </c>
    </row>
    <row r="497" spans="2:12" x14ac:dyDescent="0.35">
      <c r="B497" t="s">
        <v>2581</v>
      </c>
      <c r="C497">
        <f>COUNTIFS(fin_table[Branch Code],B497,fin_table[[loan Default ]], "Default")</f>
        <v>0</v>
      </c>
      <c r="D497">
        <f>COUNTIFS(fin_table[Branch Code],B497,fin_table[[loan Default ]], "Default")</f>
        <v>0</v>
      </c>
      <c r="K497" t="str">
        <v>BR116</v>
      </c>
      <c r="L497">
        <f>COUNTIFS(fin_table[Branch Code],K497,fin_table[Risk Level],"High-Risk")</f>
        <v>0</v>
      </c>
    </row>
    <row r="498" spans="2:12" x14ac:dyDescent="0.35">
      <c r="B498" t="s">
        <v>2585</v>
      </c>
      <c r="C498">
        <f>COUNTIFS(fin_table[Branch Code],B498,fin_table[[loan Default ]], "Default")</f>
        <v>0</v>
      </c>
      <c r="D498">
        <f>COUNTIFS(fin_table[Branch Code],B498,fin_table[[loan Default ]], "Default")</f>
        <v>0</v>
      </c>
      <c r="K498" t="str">
        <v>BR450</v>
      </c>
      <c r="L498">
        <f>COUNTIFS(fin_table[Branch Code],K498,fin_table[Risk Level],"High-Risk")</f>
        <v>0</v>
      </c>
    </row>
    <row r="499" spans="2:12" x14ac:dyDescent="0.35">
      <c r="B499" t="s">
        <v>2589</v>
      </c>
      <c r="C499">
        <f>COUNTIFS(fin_table[Branch Code],B499,fin_table[[loan Default ]], "Default")</f>
        <v>0</v>
      </c>
      <c r="D499">
        <f>COUNTIFS(fin_table[Branch Code],B499,fin_table[[loan Default ]], "Default")</f>
        <v>0</v>
      </c>
      <c r="K499" t="str">
        <v>BR527</v>
      </c>
      <c r="L499">
        <f>COUNTIFS(fin_table[Branch Code],K499,fin_table[Risk Level],"High-Risk")</f>
        <v>0</v>
      </c>
    </row>
    <row r="500" spans="2:12" x14ac:dyDescent="0.35">
      <c r="B500" t="s">
        <v>2593</v>
      </c>
      <c r="C500">
        <f>COUNTIFS(fin_table[Branch Code],B500,fin_table[[loan Default ]], "Default")</f>
        <v>1</v>
      </c>
      <c r="D500">
        <f>COUNTIFS(fin_table[Branch Code],B500,fin_table[[loan Default ]], "Default")</f>
        <v>1</v>
      </c>
      <c r="K500" t="str">
        <v>BR749</v>
      </c>
      <c r="L500">
        <f>COUNTIFS(fin_table[Branch Code],K500,fin_table[Risk Level],"High-Risk")</f>
        <v>0</v>
      </c>
    </row>
    <row r="501" spans="2:12" x14ac:dyDescent="0.35">
      <c r="B501" t="s">
        <v>2603</v>
      </c>
      <c r="C501">
        <f>COUNTIFS(fin_table[Branch Code],B501,fin_table[[loan Default ]], "Default")</f>
        <v>0</v>
      </c>
      <c r="D501">
        <f>COUNTIFS(fin_table[Branch Code],B501,fin_table[[loan Default ]], "Default")</f>
        <v>0</v>
      </c>
      <c r="K501" t="str">
        <v>BR865</v>
      </c>
      <c r="L501">
        <f>COUNTIFS(fin_table[Branch Code],K501,fin_table[Risk Level],"High-Risk")</f>
        <v>0</v>
      </c>
    </row>
    <row r="502" spans="2:12" x14ac:dyDescent="0.35">
      <c r="B502" t="s">
        <v>2610</v>
      </c>
      <c r="C502">
        <f>COUNTIFS(fin_table[Branch Code],B502,fin_table[[loan Default ]], "Default")</f>
        <v>0</v>
      </c>
      <c r="D502">
        <f>COUNTIFS(fin_table[Branch Code],B502,fin_table[[loan Default ]], "Default")</f>
        <v>0</v>
      </c>
      <c r="K502" t="str">
        <v>BR530</v>
      </c>
      <c r="L502">
        <f>COUNTIFS(fin_table[Branch Code],K502,fin_table[Risk Level],"High-Risk")</f>
        <v>0</v>
      </c>
    </row>
    <row r="503" spans="2:12" x14ac:dyDescent="0.35">
      <c r="B503" t="s">
        <v>2613</v>
      </c>
      <c r="C503">
        <f>COUNTIFS(fin_table[Branch Code],B503,fin_table[[loan Default ]], "Default")</f>
        <v>0</v>
      </c>
      <c r="D503">
        <f>COUNTIFS(fin_table[Branch Code],B503,fin_table[[loan Default ]], "Default")</f>
        <v>0</v>
      </c>
      <c r="K503" t="str">
        <v>BR393</v>
      </c>
      <c r="L503">
        <f>COUNTIFS(fin_table[Branch Code],K503,fin_table[Risk Level],"High-Risk")</f>
        <v>0</v>
      </c>
    </row>
    <row r="504" spans="2:12" x14ac:dyDescent="0.35">
      <c r="B504" t="s">
        <v>2628</v>
      </c>
      <c r="C504">
        <f>COUNTIFS(fin_table[Branch Code],B504,fin_table[[loan Default ]], "Default")</f>
        <v>0</v>
      </c>
      <c r="D504">
        <f>COUNTIFS(fin_table[Branch Code],B504,fin_table[[loan Default ]], "Default")</f>
        <v>0</v>
      </c>
      <c r="K504" t="str">
        <v>BR303</v>
      </c>
      <c r="L504">
        <f>COUNTIFS(fin_table[Branch Code],K504,fin_table[Risk Level],"High-Risk")</f>
        <v>0</v>
      </c>
    </row>
    <row r="505" spans="2:12" x14ac:dyDescent="0.35">
      <c r="B505" t="s">
        <v>2635</v>
      </c>
      <c r="C505">
        <f>COUNTIFS(fin_table[Branch Code],B505,fin_table[[loan Default ]], "Default")</f>
        <v>1</v>
      </c>
      <c r="D505">
        <f>COUNTIFS(fin_table[Branch Code],B505,fin_table[[loan Default ]], "Default")</f>
        <v>1</v>
      </c>
      <c r="K505" t="str">
        <v>BR474</v>
      </c>
      <c r="L505">
        <f>COUNTIFS(fin_table[Branch Code],K505,fin_table[Risk Level],"High-Risk")</f>
        <v>0</v>
      </c>
    </row>
    <row r="506" spans="2:12" x14ac:dyDescent="0.35">
      <c r="B506" t="s">
        <v>2648</v>
      </c>
      <c r="C506">
        <f>COUNTIFS(fin_table[Branch Code],B506,fin_table[[loan Default ]], "Default")</f>
        <v>1</v>
      </c>
      <c r="D506">
        <f>COUNTIFS(fin_table[Branch Code],B506,fin_table[[loan Default ]], "Default")</f>
        <v>1</v>
      </c>
      <c r="K506" t="str">
        <v>BR434</v>
      </c>
      <c r="L506">
        <f>COUNTIFS(fin_table[Branch Code],K506,fin_table[Risk Level],"High-Risk")</f>
        <v>0</v>
      </c>
    </row>
    <row r="507" spans="2:12" x14ac:dyDescent="0.35">
      <c r="B507" t="s">
        <v>2654</v>
      </c>
      <c r="C507">
        <f>COUNTIFS(fin_table[Branch Code],B507,fin_table[[loan Default ]], "Default")</f>
        <v>1</v>
      </c>
      <c r="D507">
        <f>COUNTIFS(fin_table[Branch Code],B507,fin_table[[loan Default ]], "Default")</f>
        <v>1</v>
      </c>
      <c r="K507" t="str">
        <v>BR234</v>
      </c>
      <c r="L507">
        <f>COUNTIFS(fin_table[Branch Code],K507,fin_table[Risk Level],"High-Risk")</f>
        <v>0</v>
      </c>
    </row>
    <row r="508" spans="2:12" x14ac:dyDescent="0.35">
      <c r="B508" t="s">
        <v>2658</v>
      </c>
      <c r="C508">
        <f>COUNTIFS(fin_table[Branch Code],B508,fin_table[[loan Default ]], "Default")</f>
        <v>0</v>
      </c>
      <c r="D508">
        <f>COUNTIFS(fin_table[Branch Code],B508,fin_table[[loan Default ]], "Default")</f>
        <v>0</v>
      </c>
      <c r="K508" t="str">
        <v>BR157</v>
      </c>
      <c r="L508">
        <f>COUNTIFS(fin_table[Branch Code],K508,fin_table[Risk Level],"High-Risk")</f>
        <v>0</v>
      </c>
    </row>
    <row r="509" spans="2:12" x14ac:dyDescent="0.35">
      <c r="B509" t="s">
        <v>2677</v>
      </c>
      <c r="C509">
        <f>COUNTIFS(fin_table[Branch Code],B509,fin_table[[loan Default ]], "Default")</f>
        <v>1</v>
      </c>
      <c r="D509">
        <f>COUNTIFS(fin_table[Branch Code],B509,fin_table[[loan Default ]], "Default")</f>
        <v>1</v>
      </c>
      <c r="K509" t="str">
        <v>BR394</v>
      </c>
      <c r="L509">
        <f>COUNTIFS(fin_table[Branch Code],K509,fin_table[Risk Level],"High-Risk")</f>
        <v>0</v>
      </c>
    </row>
    <row r="510" spans="2:12" x14ac:dyDescent="0.35">
      <c r="B510" t="s">
        <v>2690</v>
      </c>
      <c r="C510">
        <f>COUNTIFS(fin_table[Branch Code],B510,fin_table[[loan Default ]], "Default")</f>
        <v>0</v>
      </c>
      <c r="D510">
        <f>COUNTIFS(fin_table[Branch Code],B510,fin_table[[loan Default ]], "Default")</f>
        <v>0</v>
      </c>
      <c r="K510" t="str">
        <v>BR730</v>
      </c>
      <c r="L510">
        <f>COUNTIFS(fin_table[Branch Code],K510,fin_table[Risk Level],"High-Risk")</f>
        <v>0</v>
      </c>
    </row>
    <row r="511" spans="2:12" x14ac:dyDescent="0.35">
      <c r="B511" t="s">
        <v>2694</v>
      </c>
      <c r="C511">
        <f>COUNTIFS(fin_table[Branch Code],B511,fin_table[[loan Default ]], "Default")</f>
        <v>1</v>
      </c>
      <c r="D511">
        <f>COUNTIFS(fin_table[Branch Code],B511,fin_table[[loan Default ]], "Default")</f>
        <v>1</v>
      </c>
      <c r="K511" t="str">
        <v>BR166</v>
      </c>
      <c r="L511">
        <f>COUNTIFS(fin_table[Branch Code],K511,fin_table[Risk Level],"High-Risk")</f>
        <v>0</v>
      </c>
    </row>
    <row r="512" spans="2:12" x14ac:dyDescent="0.35">
      <c r="B512" t="s">
        <v>2707</v>
      </c>
      <c r="C512">
        <f>COUNTIFS(fin_table[Branch Code],B512,fin_table[[loan Default ]], "Default")</f>
        <v>0</v>
      </c>
      <c r="D512">
        <f>COUNTIFS(fin_table[Branch Code],B512,fin_table[[loan Default ]], "Default")</f>
        <v>0</v>
      </c>
      <c r="K512" t="str">
        <v>BR824</v>
      </c>
      <c r="L512">
        <f>COUNTIFS(fin_table[Branch Code],K512,fin_table[Risk Level],"High-Risk")</f>
        <v>0</v>
      </c>
    </row>
    <row r="513" spans="2:12" x14ac:dyDescent="0.35">
      <c r="B513" t="s">
        <v>2711</v>
      </c>
      <c r="C513">
        <f>COUNTIFS(fin_table[Branch Code],B513,fin_table[[loan Default ]], "Default")</f>
        <v>0</v>
      </c>
      <c r="D513">
        <f>COUNTIFS(fin_table[Branch Code],B513,fin_table[[loan Default ]], "Default")</f>
        <v>0</v>
      </c>
      <c r="K513" t="str">
        <v>BR919</v>
      </c>
      <c r="L513">
        <f>COUNTIFS(fin_table[Branch Code],K513,fin_table[Risk Level],"High-Risk")</f>
        <v>0</v>
      </c>
    </row>
    <row r="514" spans="2:12" x14ac:dyDescent="0.35">
      <c r="B514" t="s">
        <v>2718</v>
      </c>
      <c r="C514">
        <f>COUNTIFS(fin_table[Branch Code],B514,fin_table[[loan Default ]], "Default")</f>
        <v>1</v>
      </c>
      <c r="D514">
        <f>COUNTIFS(fin_table[Branch Code],B514,fin_table[[loan Default ]], "Default")</f>
        <v>1</v>
      </c>
      <c r="K514" t="str">
        <v>BR155</v>
      </c>
      <c r="L514">
        <f>COUNTIFS(fin_table[Branch Code],K514,fin_table[Risk Level],"High-Risk")</f>
        <v>0</v>
      </c>
    </row>
    <row r="515" spans="2:12" x14ac:dyDescent="0.35">
      <c r="B515" t="s">
        <v>2728</v>
      </c>
      <c r="C515">
        <f>COUNTIFS(fin_table[Branch Code],B515,fin_table[[loan Default ]], "Default")</f>
        <v>0</v>
      </c>
      <c r="D515">
        <f>COUNTIFS(fin_table[Branch Code],B515,fin_table[[loan Default ]], "Default")</f>
        <v>0</v>
      </c>
      <c r="K515" t="str">
        <v>BR850</v>
      </c>
      <c r="L515">
        <f>COUNTIFS(fin_table[Branch Code],K515,fin_table[Risk Level],"High-Risk")</f>
        <v>0</v>
      </c>
    </row>
    <row r="516" spans="2:12" x14ac:dyDescent="0.35">
      <c r="B516" t="s">
        <v>2743</v>
      </c>
      <c r="C516">
        <f>COUNTIFS(fin_table[Branch Code],B516,fin_table[[loan Default ]], "Default")</f>
        <v>1</v>
      </c>
      <c r="D516">
        <f>COUNTIFS(fin_table[Branch Code],B516,fin_table[[loan Default ]], "Default")</f>
        <v>1</v>
      </c>
      <c r="K516" t="str">
        <v>BR191</v>
      </c>
      <c r="L516">
        <f>COUNTIFS(fin_table[Branch Code],K516,fin_table[Risk Level],"High-Risk")</f>
        <v>0</v>
      </c>
    </row>
    <row r="517" spans="2:12" x14ac:dyDescent="0.35">
      <c r="B517" t="s">
        <v>2751</v>
      </c>
      <c r="C517">
        <f>COUNTIFS(fin_table[Branch Code],B517,fin_table[[loan Default ]], "Default")</f>
        <v>2</v>
      </c>
      <c r="D517">
        <f>COUNTIFS(fin_table[Branch Code],B517,fin_table[[loan Default ]], "Default")</f>
        <v>2</v>
      </c>
      <c r="K517" t="str">
        <v>BR208</v>
      </c>
      <c r="L517">
        <f>COUNTIFS(fin_table[Branch Code],K517,fin_table[Risk Level],"High-Risk")</f>
        <v>1</v>
      </c>
    </row>
    <row r="518" spans="2:12" x14ac:dyDescent="0.35">
      <c r="B518" t="s">
        <v>2761</v>
      </c>
      <c r="C518">
        <f>COUNTIFS(fin_table[Branch Code],B518,fin_table[[loan Default ]], "Default")</f>
        <v>0</v>
      </c>
      <c r="D518">
        <f>COUNTIFS(fin_table[Branch Code],B518,fin_table[[loan Default ]], "Default")</f>
        <v>0</v>
      </c>
      <c r="K518" t="str">
        <v>BR911</v>
      </c>
      <c r="L518">
        <f>COUNTIFS(fin_table[Branch Code],K518,fin_table[Risk Level],"High-Risk")</f>
        <v>0</v>
      </c>
    </row>
    <row r="519" spans="2:12" x14ac:dyDescent="0.35">
      <c r="B519" t="s">
        <v>2764</v>
      </c>
      <c r="C519">
        <f>COUNTIFS(fin_table[Branch Code],B519,fin_table[[loan Default ]], "Default")</f>
        <v>0</v>
      </c>
      <c r="D519">
        <f>COUNTIFS(fin_table[Branch Code],B519,fin_table[[loan Default ]], "Default")</f>
        <v>0</v>
      </c>
      <c r="K519" t="str">
        <v>BR534</v>
      </c>
      <c r="L519">
        <f>COUNTIFS(fin_table[Branch Code],K519,fin_table[Risk Level],"High-Risk")</f>
        <v>0</v>
      </c>
    </row>
    <row r="520" spans="2:12" x14ac:dyDescent="0.35">
      <c r="B520" t="s">
        <v>2770</v>
      </c>
      <c r="C520">
        <f>COUNTIFS(fin_table[Branch Code],B520,fin_table[[loan Default ]], "Default")</f>
        <v>1</v>
      </c>
      <c r="D520">
        <f>COUNTIFS(fin_table[Branch Code],B520,fin_table[[loan Default ]], "Default")</f>
        <v>1</v>
      </c>
      <c r="K520" t="str">
        <v>BR317</v>
      </c>
      <c r="L520">
        <f>COUNTIFS(fin_table[Branch Code],K520,fin_table[Risk Level],"High-Risk")</f>
        <v>0</v>
      </c>
    </row>
    <row r="521" spans="2:12" x14ac:dyDescent="0.35">
      <c r="B521" t="s">
        <v>2774</v>
      </c>
      <c r="C521">
        <f>COUNTIFS(fin_table[Branch Code],B521,fin_table[[loan Default ]], "Default")</f>
        <v>0</v>
      </c>
      <c r="D521">
        <f>COUNTIFS(fin_table[Branch Code],B521,fin_table[[loan Default ]], "Default")</f>
        <v>0</v>
      </c>
      <c r="K521" t="str">
        <v>BR321</v>
      </c>
      <c r="L521">
        <f>COUNTIFS(fin_table[Branch Code],K521,fin_table[Risk Level],"High-Risk")</f>
        <v>0</v>
      </c>
    </row>
    <row r="522" spans="2:12" x14ac:dyDescent="0.35">
      <c r="B522" t="s">
        <v>2781</v>
      </c>
      <c r="C522">
        <f>COUNTIFS(fin_table[Branch Code],B522,fin_table[[loan Default ]], "Default")</f>
        <v>0</v>
      </c>
      <c r="D522">
        <f>COUNTIFS(fin_table[Branch Code],B522,fin_table[[loan Default ]], "Default")</f>
        <v>0</v>
      </c>
      <c r="K522" t="str">
        <v>BR627</v>
      </c>
      <c r="L522">
        <f>COUNTIFS(fin_table[Branch Code],K522,fin_table[Risk Level],"High-Risk")</f>
        <v>0</v>
      </c>
    </row>
    <row r="523" spans="2:12" x14ac:dyDescent="0.35">
      <c r="B523" t="s">
        <v>2794</v>
      </c>
      <c r="C523">
        <f>COUNTIFS(fin_table[Branch Code],B523,fin_table[[loan Default ]], "Default")</f>
        <v>0</v>
      </c>
      <c r="D523">
        <f>COUNTIFS(fin_table[Branch Code],B523,fin_table[[loan Default ]], "Default")</f>
        <v>0</v>
      </c>
      <c r="K523" t="str">
        <v>BR974</v>
      </c>
      <c r="L523">
        <f>COUNTIFS(fin_table[Branch Code],K523,fin_table[Risk Level],"High-Risk")</f>
        <v>0</v>
      </c>
    </row>
    <row r="524" spans="2:12" x14ac:dyDescent="0.35">
      <c r="B524" t="s">
        <v>2798</v>
      </c>
      <c r="C524">
        <f>COUNTIFS(fin_table[Branch Code],B524,fin_table[[loan Default ]], "Default")</f>
        <v>0</v>
      </c>
      <c r="D524">
        <f>COUNTIFS(fin_table[Branch Code],B524,fin_table[[loan Default ]], "Default")</f>
        <v>0</v>
      </c>
      <c r="K524" t="str">
        <v>BR565</v>
      </c>
      <c r="L524">
        <f>COUNTIFS(fin_table[Branch Code],K524,fin_table[Risk Level],"High-Risk")</f>
        <v>0</v>
      </c>
    </row>
    <row r="525" spans="2:12" x14ac:dyDescent="0.35">
      <c r="B525" t="s">
        <v>2802</v>
      </c>
      <c r="C525">
        <f>COUNTIFS(fin_table[Branch Code],B525,fin_table[[loan Default ]], "Default")</f>
        <v>0</v>
      </c>
      <c r="D525">
        <f>COUNTIFS(fin_table[Branch Code],B525,fin_table[[loan Default ]], "Default")</f>
        <v>0</v>
      </c>
      <c r="K525" t="str">
        <v>BR938</v>
      </c>
      <c r="L525">
        <f>COUNTIFS(fin_table[Branch Code],K525,fin_table[Risk Level],"High-Risk")</f>
        <v>0</v>
      </c>
    </row>
    <row r="526" spans="2:12" x14ac:dyDescent="0.35">
      <c r="B526" t="s">
        <v>2818</v>
      </c>
      <c r="C526">
        <f>COUNTIFS(fin_table[Branch Code],B526,fin_table[[loan Default ]], "Default")</f>
        <v>0</v>
      </c>
      <c r="D526">
        <f>COUNTIFS(fin_table[Branch Code],B526,fin_table[[loan Default ]], "Default")</f>
        <v>0</v>
      </c>
      <c r="K526" t="str">
        <v>BR129</v>
      </c>
      <c r="L526">
        <f>COUNTIFS(fin_table[Branch Code],K526,fin_table[Risk Level],"High-Risk")</f>
        <v>0</v>
      </c>
    </row>
    <row r="527" spans="2:12" x14ac:dyDescent="0.35">
      <c r="B527" t="s">
        <v>2825</v>
      </c>
      <c r="C527">
        <f>COUNTIFS(fin_table[Branch Code],B527,fin_table[[loan Default ]], "Default")</f>
        <v>0</v>
      </c>
      <c r="D527">
        <f>COUNTIFS(fin_table[Branch Code],B527,fin_table[[loan Default ]], "Default")</f>
        <v>0</v>
      </c>
      <c r="K527" t="str">
        <v>BR387</v>
      </c>
      <c r="L527">
        <f>COUNTIFS(fin_table[Branch Code],K527,fin_table[Risk Level],"High-Risk")</f>
        <v>0</v>
      </c>
    </row>
    <row r="528" spans="2:12" x14ac:dyDescent="0.35">
      <c r="B528" t="s">
        <v>2829</v>
      </c>
      <c r="C528">
        <f>COUNTIFS(fin_table[Branch Code],B528,fin_table[[loan Default ]], "Default")</f>
        <v>1</v>
      </c>
      <c r="D528">
        <f>COUNTIFS(fin_table[Branch Code],B528,fin_table[[loan Default ]], "Default")</f>
        <v>1</v>
      </c>
      <c r="K528" t="str">
        <v>BR185</v>
      </c>
      <c r="L528">
        <f>COUNTIFS(fin_table[Branch Code],K528,fin_table[Risk Level],"High-Risk")</f>
        <v>0</v>
      </c>
    </row>
    <row r="529" spans="2:12" x14ac:dyDescent="0.35">
      <c r="B529" t="s">
        <v>2833</v>
      </c>
      <c r="C529">
        <f>COUNTIFS(fin_table[Branch Code],B529,fin_table[[loan Default ]], "Default")</f>
        <v>1</v>
      </c>
      <c r="D529">
        <f>COUNTIFS(fin_table[Branch Code],B529,fin_table[[loan Default ]], "Default")</f>
        <v>1</v>
      </c>
      <c r="K529" t="str">
        <v>BR333</v>
      </c>
      <c r="L529">
        <f>COUNTIFS(fin_table[Branch Code],K529,fin_table[Risk Level],"High-Risk")</f>
        <v>0</v>
      </c>
    </row>
    <row r="530" spans="2:12" x14ac:dyDescent="0.35">
      <c r="B530" t="s">
        <v>2837</v>
      </c>
      <c r="C530">
        <f>COUNTIFS(fin_table[Branch Code],B530,fin_table[[loan Default ]], "Default")</f>
        <v>1</v>
      </c>
      <c r="D530">
        <f>COUNTIFS(fin_table[Branch Code],B530,fin_table[[loan Default ]], "Default")</f>
        <v>1</v>
      </c>
      <c r="K530" t="str">
        <v>BR846</v>
      </c>
      <c r="L530">
        <f>COUNTIFS(fin_table[Branch Code],K530,fin_table[Risk Level],"High-Risk")</f>
        <v>0</v>
      </c>
    </row>
    <row r="531" spans="2:12" x14ac:dyDescent="0.35">
      <c r="B531" t="s">
        <v>2846</v>
      </c>
      <c r="C531">
        <f>COUNTIFS(fin_table[Branch Code],B531,fin_table[[loan Default ]], "Default")</f>
        <v>0</v>
      </c>
      <c r="D531">
        <f>COUNTIFS(fin_table[Branch Code],B531,fin_table[[loan Default ]], "Default")</f>
        <v>0</v>
      </c>
      <c r="K531" t="str">
        <v>BR876</v>
      </c>
      <c r="L531">
        <f>COUNTIFS(fin_table[Branch Code],K531,fin_table[Risk Level],"High-Risk")</f>
        <v>0</v>
      </c>
    </row>
    <row r="532" spans="2:12" x14ac:dyDescent="0.35">
      <c r="B532" t="s">
        <v>2855</v>
      </c>
      <c r="C532">
        <f>COUNTIFS(fin_table[Branch Code],B532,fin_table[[loan Default ]], "Default")</f>
        <v>0</v>
      </c>
      <c r="D532">
        <f>COUNTIFS(fin_table[Branch Code],B532,fin_table[[loan Default ]], "Default")</f>
        <v>0</v>
      </c>
      <c r="K532" t="str">
        <v>BR368</v>
      </c>
      <c r="L532">
        <f>COUNTIFS(fin_table[Branch Code],K532,fin_table[Risk Level],"High-Risk")</f>
        <v>0</v>
      </c>
    </row>
    <row r="533" spans="2:12" x14ac:dyDescent="0.35">
      <c r="B533" t="s">
        <v>2865</v>
      </c>
      <c r="C533">
        <f>COUNTIFS(fin_table[Branch Code],B533,fin_table[[loan Default ]], "Default")</f>
        <v>0</v>
      </c>
      <c r="D533">
        <f>COUNTIFS(fin_table[Branch Code],B533,fin_table[[loan Default ]], "Default")</f>
        <v>0</v>
      </c>
      <c r="K533" t="str">
        <v>BR902</v>
      </c>
      <c r="L533">
        <f>COUNTIFS(fin_table[Branch Code],K533,fin_table[Risk Level],"High-Risk")</f>
        <v>0</v>
      </c>
    </row>
    <row r="534" spans="2:12" x14ac:dyDescent="0.35">
      <c r="B534" t="s">
        <v>2878</v>
      </c>
      <c r="C534">
        <f>COUNTIFS(fin_table[Branch Code],B534,fin_table[[loan Default ]], "Default")</f>
        <v>0</v>
      </c>
      <c r="D534">
        <f>COUNTIFS(fin_table[Branch Code],B534,fin_table[[loan Default ]], "Default")</f>
        <v>0</v>
      </c>
      <c r="K534" t="str">
        <v>BR279</v>
      </c>
      <c r="L534">
        <f>COUNTIFS(fin_table[Branch Code],K534,fin_table[Risk Level],"High-Risk")</f>
        <v>0</v>
      </c>
    </row>
    <row r="535" spans="2:12" x14ac:dyDescent="0.35">
      <c r="B535" t="s">
        <v>2885</v>
      </c>
      <c r="C535">
        <f>COUNTIFS(fin_table[Branch Code],B535,fin_table[[loan Default ]], "Default")</f>
        <v>0</v>
      </c>
      <c r="D535">
        <f>COUNTIFS(fin_table[Branch Code],B535,fin_table[[loan Default ]], "Default")</f>
        <v>0</v>
      </c>
      <c r="K535" t="str">
        <v>BR579</v>
      </c>
      <c r="L535">
        <f>COUNTIFS(fin_table[Branch Code],K535,fin_table[Risk Level],"High-Risk")</f>
        <v>0</v>
      </c>
    </row>
    <row r="536" spans="2:12" x14ac:dyDescent="0.35">
      <c r="B536" t="s">
        <v>2889</v>
      </c>
      <c r="C536">
        <f>COUNTIFS(fin_table[Branch Code],B536,fin_table[[loan Default ]], "Default")</f>
        <v>0</v>
      </c>
      <c r="D536">
        <f>COUNTIFS(fin_table[Branch Code],B536,fin_table[[loan Default ]], "Default")</f>
        <v>0</v>
      </c>
      <c r="K536" t="str">
        <v>BR988</v>
      </c>
      <c r="L536">
        <f>COUNTIFS(fin_table[Branch Code],K536,fin_table[Risk Level],"High-Risk")</f>
        <v>0</v>
      </c>
    </row>
    <row r="537" spans="2:12" x14ac:dyDescent="0.35">
      <c r="B537" t="s">
        <v>2893</v>
      </c>
      <c r="C537">
        <f>COUNTIFS(fin_table[Branch Code],B537,fin_table[[loan Default ]], "Default")</f>
        <v>0</v>
      </c>
      <c r="D537">
        <f>COUNTIFS(fin_table[Branch Code],B537,fin_table[[loan Default ]], "Default")</f>
        <v>0</v>
      </c>
      <c r="K537" t="str">
        <v>BR262</v>
      </c>
      <c r="L537">
        <f>COUNTIFS(fin_table[Branch Code],K537,fin_table[Risk Level],"High-Risk")</f>
        <v>0</v>
      </c>
    </row>
    <row r="538" spans="2:12" x14ac:dyDescent="0.35">
      <c r="B538" t="s">
        <v>2900</v>
      </c>
      <c r="C538">
        <f>COUNTIFS(fin_table[Branch Code],B538,fin_table[[loan Default ]], "Default")</f>
        <v>1</v>
      </c>
      <c r="D538">
        <f>COUNTIFS(fin_table[Branch Code],B538,fin_table[[loan Default ]], "Default")</f>
        <v>1</v>
      </c>
      <c r="K538" t="str">
        <v>BR987</v>
      </c>
      <c r="L538">
        <f>COUNTIFS(fin_table[Branch Code],K538,fin_table[Risk Level],"High-Risk")</f>
        <v>0</v>
      </c>
    </row>
    <row r="539" spans="2:12" x14ac:dyDescent="0.35">
      <c r="B539" t="s">
        <v>2907</v>
      </c>
      <c r="C539">
        <f>COUNTIFS(fin_table[Branch Code],B539,fin_table[[loan Default ]], "Default")</f>
        <v>1</v>
      </c>
      <c r="D539">
        <f>COUNTIFS(fin_table[Branch Code],B539,fin_table[[loan Default ]], "Default")</f>
        <v>1</v>
      </c>
      <c r="K539" t="str">
        <v>BR873</v>
      </c>
      <c r="L539">
        <f>COUNTIFS(fin_table[Branch Code],K539,fin_table[Risk Level],"High-Risk")</f>
        <v>0</v>
      </c>
    </row>
    <row r="540" spans="2:12" x14ac:dyDescent="0.35">
      <c r="B540" t="s">
        <v>2917</v>
      </c>
      <c r="C540">
        <f>COUNTIFS(fin_table[Branch Code],B540,fin_table[[loan Default ]], "Default")</f>
        <v>0</v>
      </c>
      <c r="D540">
        <f>COUNTIFS(fin_table[Branch Code],B540,fin_table[[loan Default ]], "Default")</f>
        <v>0</v>
      </c>
      <c r="K540" t="str">
        <v>BR452</v>
      </c>
      <c r="L540">
        <f>COUNTIFS(fin_table[Branch Code],K540,fin_table[Risk Level],"High-Risk")</f>
        <v>0</v>
      </c>
    </row>
    <row r="541" spans="2:12" x14ac:dyDescent="0.35">
      <c r="B541" t="s">
        <v>2921</v>
      </c>
      <c r="C541">
        <f>COUNTIFS(fin_table[Branch Code],B541,fin_table[[loan Default ]], "Default")</f>
        <v>0</v>
      </c>
      <c r="D541">
        <f>COUNTIFS(fin_table[Branch Code],B541,fin_table[[loan Default ]], "Default")</f>
        <v>0</v>
      </c>
      <c r="K541" t="str">
        <v>BR899</v>
      </c>
      <c r="L541">
        <f>COUNTIFS(fin_table[Branch Code],K541,fin_table[Risk Level],"High-Risk")</f>
        <v>0</v>
      </c>
    </row>
    <row r="542" spans="2:12" x14ac:dyDescent="0.35">
      <c r="B542" t="s">
        <v>2933</v>
      </c>
      <c r="C542">
        <f>COUNTIFS(fin_table[Branch Code],B542,fin_table[[loan Default ]], "Default")</f>
        <v>1</v>
      </c>
      <c r="D542">
        <f>COUNTIFS(fin_table[Branch Code],B542,fin_table[[loan Default ]], "Default")</f>
        <v>1</v>
      </c>
      <c r="K542" t="str">
        <v>BR511</v>
      </c>
      <c r="L542">
        <f>COUNTIFS(fin_table[Branch Code],K542,fin_table[Risk Level],"High-Risk")</f>
        <v>0</v>
      </c>
    </row>
    <row r="543" spans="2:12" x14ac:dyDescent="0.35">
      <c r="B543" t="s">
        <v>2940</v>
      </c>
      <c r="C543">
        <f>COUNTIFS(fin_table[Branch Code],B543,fin_table[[loan Default ]], "Default")</f>
        <v>0</v>
      </c>
      <c r="D543">
        <f>COUNTIFS(fin_table[Branch Code],B543,fin_table[[loan Default ]], "Default")</f>
        <v>0</v>
      </c>
      <c r="K543" t="str">
        <v>BR217</v>
      </c>
      <c r="L543">
        <f>COUNTIFS(fin_table[Branch Code],K543,fin_table[Risk Level],"High-Risk")</f>
        <v>1</v>
      </c>
    </row>
    <row r="544" spans="2:12" x14ac:dyDescent="0.35">
      <c r="B544" t="s">
        <v>2949</v>
      </c>
      <c r="C544">
        <f>COUNTIFS(fin_table[Branch Code],B544,fin_table[[loan Default ]], "Default")</f>
        <v>1</v>
      </c>
      <c r="D544">
        <f>COUNTIFS(fin_table[Branch Code],B544,fin_table[[loan Default ]], "Default")</f>
        <v>1</v>
      </c>
      <c r="K544" t="str">
        <v>BR690</v>
      </c>
      <c r="L544">
        <f>COUNTIFS(fin_table[Branch Code],K544,fin_table[Risk Level],"High-Risk")</f>
        <v>0</v>
      </c>
    </row>
    <row r="545" spans="2:12" x14ac:dyDescent="0.35">
      <c r="B545" t="s">
        <v>2953</v>
      </c>
      <c r="C545">
        <f>COUNTIFS(fin_table[Branch Code],B545,fin_table[[loan Default ]], "Default")</f>
        <v>0</v>
      </c>
      <c r="D545">
        <f>COUNTIFS(fin_table[Branch Code],B545,fin_table[[loan Default ]], "Default")</f>
        <v>0</v>
      </c>
      <c r="K545" t="str">
        <v>BR689</v>
      </c>
      <c r="L545">
        <f>COUNTIFS(fin_table[Branch Code],K545,fin_table[Risk Level],"High-Risk")</f>
        <v>0</v>
      </c>
    </row>
    <row r="546" spans="2:12" x14ac:dyDescent="0.35">
      <c r="B546" t="s">
        <v>2957</v>
      </c>
      <c r="C546">
        <f>COUNTIFS(fin_table[Branch Code],B546,fin_table[[loan Default ]], "Default")</f>
        <v>0</v>
      </c>
      <c r="D546">
        <f>COUNTIFS(fin_table[Branch Code],B546,fin_table[[loan Default ]], "Default")</f>
        <v>0</v>
      </c>
      <c r="K546" t="str">
        <v>BR758</v>
      </c>
      <c r="L546">
        <f>COUNTIFS(fin_table[Branch Code],K546,fin_table[Risk Level],"High-Risk")</f>
        <v>0</v>
      </c>
    </row>
    <row r="547" spans="2:12" x14ac:dyDescent="0.35">
      <c r="B547" t="s">
        <v>2961</v>
      </c>
      <c r="C547">
        <f>COUNTIFS(fin_table[Branch Code],B547,fin_table[[loan Default ]], "Default")</f>
        <v>1</v>
      </c>
      <c r="D547">
        <f>COUNTIFS(fin_table[Branch Code],B547,fin_table[[loan Default ]], "Default")</f>
        <v>1</v>
      </c>
      <c r="K547" t="str">
        <v>BR206</v>
      </c>
      <c r="L547">
        <f>COUNTIFS(fin_table[Branch Code],K547,fin_table[Risk Level],"High-Risk")</f>
        <v>0</v>
      </c>
    </row>
    <row r="548" spans="2:12" x14ac:dyDescent="0.35">
      <c r="B548" t="s">
        <v>2971</v>
      </c>
      <c r="C548">
        <f>COUNTIFS(fin_table[Branch Code],B548,fin_table[[loan Default ]], "Default")</f>
        <v>0</v>
      </c>
      <c r="D548">
        <f>COUNTIFS(fin_table[Branch Code],B548,fin_table[[loan Default ]], "Default")</f>
        <v>0</v>
      </c>
      <c r="K548" t="str">
        <v>BR489</v>
      </c>
      <c r="L548">
        <f>COUNTIFS(fin_table[Branch Code],K548,fin_table[Risk Level],"High-Risk")</f>
        <v>0</v>
      </c>
    </row>
    <row r="549" spans="2:12" x14ac:dyDescent="0.35">
      <c r="B549" t="s">
        <v>2975</v>
      </c>
      <c r="C549">
        <f>COUNTIFS(fin_table[Branch Code],B549,fin_table[[loan Default ]], "Default")</f>
        <v>0</v>
      </c>
      <c r="D549">
        <f>COUNTIFS(fin_table[Branch Code],B549,fin_table[[loan Default ]], "Default")</f>
        <v>0</v>
      </c>
      <c r="K549" t="str">
        <v>BR343</v>
      </c>
      <c r="L549">
        <f>COUNTIFS(fin_table[Branch Code],K549,fin_table[Risk Level],"High-Risk")</f>
        <v>0</v>
      </c>
    </row>
    <row r="550" spans="2:12" x14ac:dyDescent="0.35">
      <c r="B550" t="s">
        <v>2984</v>
      </c>
      <c r="C550">
        <f>COUNTIFS(fin_table[Branch Code],B550,fin_table[[loan Default ]], "Default")</f>
        <v>1</v>
      </c>
      <c r="D550">
        <f>COUNTIFS(fin_table[Branch Code],B550,fin_table[[loan Default ]], "Default")</f>
        <v>1</v>
      </c>
      <c r="K550" t="str">
        <v>BR567</v>
      </c>
      <c r="L550">
        <f>COUNTIFS(fin_table[Branch Code],K550,fin_table[Risk Level],"High-Risk")</f>
        <v>0</v>
      </c>
    </row>
    <row r="551" spans="2:12" x14ac:dyDescent="0.35">
      <c r="B551" t="s">
        <v>3005</v>
      </c>
      <c r="C551">
        <f>COUNTIFS(fin_table[Branch Code],B551,fin_table[[loan Default ]], "Default")</f>
        <v>0</v>
      </c>
      <c r="D551">
        <f>COUNTIFS(fin_table[Branch Code],B551,fin_table[[loan Default ]], "Default")</f>
        <v>0</v>
      </c>
      <c r="K551" t="str">
        <v>BR734</v>
      </c>
      <c r="L551">
        <f>COUNTIFS(fin_table[Branch Code],K551,fin_table[Risk Level],"High-Risk")</f>
        <v>0</v>
      </c>
    </row>
    <row r="552" spans="2:12" x14ac:dyDescent="0.35">
      <c r="B552" t="s">
        <v>3008</v>
      </c>
      <c r="C552">
        <f>COUNTIFS(fin_table[Branch Code],B552,fin_table[[loan Default ]], "Default")</f>
        <v>0</v>
      </c>
      <c r="D552">
        <f>COUNTIFS(fin_table[Branch Code],B552,fin_table[[loan Default ]], "Default")</f>
        <v>0</v>
      </c>
      <c r="K552" t="str">
        <v>BR408</v>
      </c>
      <c r="L552">
        <f>COUNTIFS(fin_table[Branch Code],K552,fin_table[Risk Level],"High-Risk")</f>
        <v>0</v>
      </c>
    </row>
    <row r="553" spans="2:12" x14ac:dyDescent="0.35">
      <c r="B553" t="s">
        <v>3012</v>
      </c>
      <c r="C553">
        <f>COUNTIFS(fin_table[Branch Code],B553,fin_table[[loan Default ]], "Default")</f>
        <v>1</v>
      </c>
      <c r="D553">
        <f>COUNTIFS(fin_table[Branch Code],B553,fin_table[[loan Default ]], "Default")</f>
        <v>1</v>
      </c>
      <c r="K553" t="str">
        <v>BR795</v>
      </c>
      <c r="L553">
        <f>COUNTIFS(fin_table[Branch Code],K553,fin_table[Risk Level],"High-Risk")</f>
        <v>0</v>
      </c>
    </row>
    <row r="554" spans="2:12" x14ac:dyDescent="0.35">
      <c r="B554" t="s">
        <v>3016</v>
      </c>
      <c r="C554">
        <f>COUNTIFS(fin_table[Branch Code],B554,fin_table[[loan Default ]], "Default")</f>
        <v>0</v>
      </c>
      <c r="D554">
        <f>COUNTIFS(fin_table[Branch Code],B554,fin_table[[loan Default ]], "Default")</f>
        <v>0</v>
      </c>
      <c r="K554" t="str">
        <v>BR798</v>
      </c>
      <c r="L554">
        <f>COUNTIFS(fin_table[Branch Code],K554,fin_table[Risk Level],"High-Risk")</f>
        <v>0</v>
      </c>
    </row>
    <row r="555" spans="2:12" x14ac:dyDescent="0.35">
      <c r="B555" t="s">
        <v>3026</v>
      </c>
      <c r="C555">
        <f>COUNTIFS(fin_table[Branch Code],B555,fin_table[[loan Default ]], "Default")</f>
        <v>1</v>
      </c>
      <c r="D555">
        <f>COUNTIFS(fin_table[Branch Code],B555,fin_table[[loan Default ]], "Default")</f>
        <v>1</v>
      </c>
      <c r="K555" t="str">
        <v>BR959</v>
      </c>
      <c r="L555">
        <f>COUNTIFS(fin_table[Branch Code],K555,fin_table[Risk Level],"High-Risk")</f>
        <v>0</v>
      </c>
    </row>
    <row r="556" spans="2:12" x14ac:dyDescent="0.35">
      <c r="B556" t="s">
        <v>3051</v>
      </c>
      <c r="C556">
        <f>COUNTIFS(fin_table[Branch Code],B556,fin_table[[loan Default ]], "Default")</f>
        <v>0</v>
      </c>
      <c r="D556">
        <f>COUNTIFS(fin_table[Branch Code],B556,fin_table[[loan Default ]], "Default")</f>
        <v>0</v>
      </c>
      <c r="K556" t="str">
        <v>BR886</v>
      </c>
      <c r="L556">
        <f>COUNTIFS(fin_table[Branch Code],K556,fin_table[Risk Level],"High-Risk")</f>
        <v>0</v>
      </c>
    </row>
    <row r="557" spans="2:12" x14ac:dyDescent="0.35">
      <c r="B557" t="s">
        <v>3055</v>
      </c>
      <c r="C557">
        <f>COUNTIFS(fin_table[Branch Code],B557,fin_table[[loan Default ]], "Default")</f>
        <v>0</v>
      </c>
      <c r="D557">
        <f>COUNTIFS(fin_table[Branch Code],B557,fin_table[[loan Default ]], "Default")</f>
        <v>0</v>
      </c>
      <c r="K557" t="str">
        <v>BR248</v>
      </c>
      <c r="L557">
        <f>COUNTIFS(fin_table[Branch Code],K557,fin_table[Risk Level],"High-Risk")</f>
        <v>0</v>
      </c>
    </row>
    <row r="558" spans="2:12" x14ac:dyDescent="0.35">
      <c r="B558" t="s">
        <v>3068</v>
      </c>
      <c r="C558">
        <f>COUNTIFS(fin_table[Branch Code],B558,fin_table[[loan Default ]], "Default")</f>
        <v>1</v>
      </c>
      <c r="D558">
        <f>COUNTIFS(fin_table[Branch Code],B558,fin_table[[loan Default ]], "Default")</f>
        <v>1</v>
      </c>
      <c r="K558" t="str">
        <v>BR379</v>
      </c>
      <c r="L558">
        <f>COUNTIFS(fin_table[Branch Code],K558,fin_table[Risk Level],"High-Risk")</f>
        <v>0</v>
      </c>
    </row>
    <row r="559" spans="2:12" x14ac:dyDescent="0.35">
      <c r="B559" t="s">
        <v>3074</v>
      </c>
      <c r="C559">
        <f>COUNTIFS(fin_table[Branch Code],B559,fin_table[[loan Default ]], "Default")</f>
        <v>1</v>
      </c>
      <c r="D559">
        <f>COUNTIFS(fin_table[Branch Code],B559,fin_table[[loan Default ]], "Default")</f>
        <v>1</v>
      </c>
      <c r="K559" t="str">
        <v>BR784</v>
      </c>
      <c r="L559">
        <f>COUNTIFS(fin_table[Branch Code],K559,fin_table[Risk Level],"High-Risk")</f>
        <v>0</v>
      </c>
    </row>
    <row r="560" spans="2:12" x14ac:dyDescent="0.35">
      <c r="B560" t="s">
        <v>3081</v>
      </c>
      <c r="C560">
        <f>COUNTIFS(fin_table[Branch Code],B560,fin_table[[loan Default ]], "Default")</f>
        <v>0</v>
      </c>
      <c r="D560">
        <f>COUNTIFS(fin_table[Branch Code],B560,fin_table[[loan Default ]], "Default")</f>
        <v>0</v>
      </c>
      <c r="K560" t="str">
        <v>BR337</v>
      </c>
      <c r="L560">
        <f>COUNTIFS(fin_table[Branch Code],K560,fin_table[Risk Level],"High-Risk")</f>
        <v>1</v>
      </c>
    </row>
    <row r="561" spans="2:12" x14ac:dyDescent="0.35">
      <c r="B561" t="s">
        <v>3097</v>
      </c>
      <c r="C561">
        <f>COUNTIFS(fin_table[Branch Code],B561,fin_table[[loan Default ]], "Default")</f>
        <v>0</v>
      </c>
      <c r="D561">
        <f>COUNTIFS(fin_table[Branch Code],B561,fin_table[[loan Default ]], "Default")</f>
        <v>0</v>
      </c>
      <c r="K561" t="str">
        <v>BR372</v>
      </c>
      <c r="L561">
        <f>COUNTIFS(fin_table[Branch Code],K561,fin_table[Risk Level],"High-Risk")</f>
        <v>0</v>
      </c>
    </row>
    <row r="562" spans="2:12" x14ac:dyDescent="0.35">
      <c r="B562" t="s">
        <v>3104</v>
      </c>
      <c r="C562">
        <f>COUNTIFS(fin_table[Branch Code],B562,fin_table[[loan Default ]], "Default")</f>
        <v>0</v>
      </c>
      <c r="D562">
        <f>COUNTIFS(fin_table[Branch Code],B562,fin_table[[loan Default ]], "Default")</f>
        <v>0</v>
      </c>
      <c r="K562" t="str">
        <v>BR143</v>
      </c>
      <c r="L562">
        <f>COUNTIFS(fin_table[Branch Code],K562,fin_table[Risk Level],"High-Risk")</f>
        <v>0</v>
      </c>
    </row>
    <row r="563" spans="2:12" x14ac:dyDescent="0.35">
      <c r="B563" t="s">
        <v>3108</v>
      </c>
      <c r="C563">
        <f>COUNTIFS(fin_table[Branch Code],B563,fin_table[[loan Default ]], "Default")</f>
        <v>1</v>
      </c>
      <c r="D563">
        <f>COUNTIFS(fin_table[Branch Code],B563,fin_table[[loan Default ]], "Default")</f>
        <v>1</v>
      </c>
      <c r="K563" t="str">
        <v>BR672</v>
      </c>
      <c r="L563">
        <f>COUNTIFS(fin_table[Branch Code],K563,fin_table[Risk Level],"High-Risk")</f>
        <v>0</v>
      </c>
    </row>
    <row r="564" spans="2:12" x14ac:dyDescent="0.35">
      <c r="B564" t="s">
        <v>3124</v>
      </c>
      <c r="C564">
        <f>COUNTIFS(fin_table[Branch Code],B564,fin_table[[loan Default ]], "Default")</f>
        <v>1</v>
      </c>
      <c r="D564">
        <f>COUNTIFS(fin_table[Branch Code],B564,fin_table[[loan Default ]], "Default")</f>
        <v>1</v>
      </c>
      <c r="K564" t="str">
        <v>BR508</v>
      </c>
      <c r="L564">
        <f>COUNTIFS(fin_table[Branch Code],K564,fin_table[Risk Level],"High-Risk")</f>
        <v>0</v>
      </c>
    </row>
    <row r="565" spans="2:12" x14ac:dyDescent="0.35">
      <c r="B565" t="s">
        <v>3128</v>
      </c>
      <c r="C565">
        <f>COUNTIFS(fin_table[Branch Code],B565,fin_table[[loan Default ]], "Default")</f>
        <v>0</v>
      </c>
      <c r="D565">
        <f>COUNTIFS(fin_table[Branch Code],B565,fin_table[[loan Default ]], "Default")</f>
        <v>0</v>
      </c>
      <c r="K565" t="str">
        <v>BR422</v>
      </c>
      <c r="L565">
        <f>COUNTIFS(fin_table[Branch Code],K565,fin_table[Risk Level],"High-Risk")</f>
        <v>0</v>
      </c>
    </row>
    <row r="566" spans="2:12" x14ac:dyDescent="0.35">
      <c r="B566" t="s">
        <v>3135</v>
      </c>
      <c r="C566">
        <f>COUNTIFS(fin_table[Branch Code],B566,fin_table[[loan Default ]], "Default")</f>
        <v>1</v>
      </c>
      <c r="D566">
        <f>COUNTIFS(fin_table[Branch Code],B566,fin_table[[loan Default ]], "Default")</f>
        <v>1</v>
      </c>
      <c r="K566" t="str">
        <v>BR869</v>
      </c>
      <c r="L566">
        <f>COUNTIFS(fin_table[Branch Code],K566,fin_table[Risk Level],"High-Risk")</f>
        <v>0</v>
      </c>
    </row>
    <row r="567" spans="2:12" x14ac:dyDescent="0.35">
      <c r="B567" t="s">
        <v>3142</v>
      </c>
      <c r="C567">
        <f>COUNTIFS(fin_table[Branch Code],B567,fin_table[[loan Default ]], "Default")</f>
        <v>1</v>
      </c>
      <c r="D567">
        <f>COUNTIFS(fin_table[Branch Code],B567,fin_table[[loan Default ]], "Default")</f>
        <v>1</v>
      </c>
      <c r="K567" t="str">
        <v>BR532</v>
      </c>
      <c r="L567">
        <f>COUNTIFS(fin_table[Branch Code],K567,fin_table[Risk Level],"High-Risk")</f>
        <v>0</v>
      </c>
    </row>
    <row r="568" spans="2:12" x14ac:dyDescent="0.35">
      <c r="B568" t="s">
        <v>3149</v>
      </c>
      <c r="C568">
        <f>COUNTIFS(fin_table[Branch Code],B568,fin_table[[loan Default ]], "Default")</f>
        <v>0</v>
      </c>
      <c r="D568">
        <f>COUNTIFS(fin_table[Branch Code],B568,fin_table[[loan Default ]], "Default")</f>
        <v>0</v>
      </c>
      <c r="K568" t="str">
        <v>BR893</v>
      </c>
      <c r="L568">
        <f>COUNTIFS(fin_table[Branch Code],K568,fin_table[Risk Level],"High-Risk")</f>
        <v>0</v>
      </c>
    </row>
    <row r="569" spans="2:12" x14ac:dyDescent="0.35">
      <c r="B569" t="s">
        <v>3159</v>
      </c>
      <c r="C569">
        <f>COUNTIFS(fin_table[Branch Code],B569,fin_table[[loan Default ]], "Default")</f>
        <v>0</v>
      </c>
      <c r="D569">
        <f>COUNTIFS(fin_table[Branch Code],B569,fin_table[[loan Default ]], "Default")</f>
        <v>0</v>
      </c>
      <c r="K569" t="str">
        <v>BR638</v>
      </c>
      <c r="L569">
        <f>COUNTIFS(fin_table[Branch Code],K569,fin_table[Risk Level],"High-Risk")</f>
        <v>0</v>
      </c>
    </row>
    <row r="570" spans="2:12" x14ac:dyDescent="0.35">
      <c r="B570" t="s">
        <v>3175</v>
      </c>
      <c r="C570">
        <f>COUNTIFS(fin_table[Branch Code],B570,fin_table[[loan Default ]], "Default")</f>
        <v>0</v>
      </c>
      <c r="D570">
        <f>COUNTIFS(fin_table[Branch Code],B570,fin_table[[loan Default ]], "Default")</f>
        <v>0</v>
      </c>
      <c r="K570" t="str">
        <v>BR288</v>
      </c>
      <c r="L570">
        <f>COUNTIFS(fin_table[Branch Code],K570,fin_table[Risk Level],"High-Risk")</f>
        <v>0</v>
      </c>
    </row>
    <row r="571" spans="2:12" x14ac:dyDescent="0.35">
      <c r="B571" t="s">
        <v>3179</v>
      </c>
      <c r="C571">
        <f>COUNTIFS(fin_table[Branch Code],B571,fin_table[[loan Default ]], "Default")</f>
        <v>1</v>
      </c>
      <c r="D571">
        <f>COUNTIFS(fin_table[Branch Code],B571,fin_table[[loan Default ]], "Default")</f>
        <v>1</v>
      </c>
      <c r="K571" t="str">
        <v>BR339</v>
      </c>
      <c r="L571">
        <f>COUNTIFS(fin_table[Branch Code],K571,fin_table[Risk Level],"High-Risk")</f>
        <v>0</v>
      </c>
    </row>
    <row r="572" spans="2:12" x14ac:dyDescent="0.35">
      <c r="B572" t="s">
        <v>3183</v>
      </c>
      <c r="C572">
        <f>COUNTIFS(fin_table[Branch Code],B572,fin_table[[loan Default ]], "Default")</f>
        <v>0</v>
      </c>
      <c r="D572">
        <f>COUNTIFS(fin_table[Branch Code],B572,fin_table[[loan Default ]], "Default")</f>
        <v>0</v>
      </c>
      <c r="K572" t="str">
        <v>BR970</v>
      </c>
      <c r="L572">
        <f>COUNTIFS(fin_table[Branch Code],K572,fin_table[Risk Level],"High-Risk")</f>
        <v>0</v>
      </c>
    </row>
    <row r="573" spans="2:12" x14ac:dyDescent="0.35">
      <c r="B573" t="s">
        <v>3187</v>
      </c>
      <c r="C573">
        <f>COUNTIFS(fin_table[Branch Code],B573,fin_table[[loan Default ]], "Default")</f>
        <v>1</v>
      </c>
      <c r="D573">
        <f>COUNTIFS(fin_table[Branch Code],B573,fin_table[[loan Default ]], "Default")</f>
        <v>1</v>
      </c>
      <c r="K573" t="str">
        <v>BR998</v>
      </c>
      <c r="L573">
        <f>COUNTIFS(fin_table[Branch Code],K573,fin_table[Risk Level],"High-Risk")</f>
        <v>0</v>
      </c>
    </row>
    <row r="574" spans="2:12" x14ac:dyDescent="0.35">
      <c r="B574" t="s">
        <v>3191</v>
      </c>
      <c r="C574">
        <f>COUNTIFS(fin_table[Branch Code],B574,fin_table[[loan Default ]], "Default")</f>
        <v>0</v>
      </c>
      <c r="D574">
        <f>COUNTIFS(fin_table[Branch Code],B574,fin_table[[loan Default ]], "Default")</f>
        <v>0</v>
      </c>
      <c r="K574" t="str">
        <v>BR602</v>
      </c>
      <c r="L574">
        <f>COUNTIFS(fin_table[Branch Code],K574,fin_table[Risk Level],"High-Risk")</f>
        <v>0</v>
      </c>
    </row>
    <row r="575" spans="2:12" x14ac:dyDescent="0.35">
      <c r="B575" t="s">
        <v>3198</v>
      </c>
      <c r="C575">
        <f>COUNTIFS(fin_table[Branch Code],B575,fin_table[[loan Default ]], "Default")</f>
        <v>1</v>
      </c>
      <c r="D575">
        <f>COUNTIFS(fin_table[Branch Code],B575,fin_table[[loan Default ]], "Default")</f>
        <v>1</v>
      </c>
      <c r="K575" t="str">
        <v>BR908</v>
      </c>
      <c r="L575">
        <f>COUNTIFS(fin_table[Branch Code],K575,fin_table[Risk Level],"High-Risk")</f>
        <v>1</v>
      </c>
    </row>
    <row r="576" spans="2:12" x14ac:dyDescent="0.35">
      <c r="B576" t="s">
        <v>3220</v>
      </c>
      <c r="C576">
        <f>COUNTIFS(fin_table[Branch Code],B576,fin_table[[loan Default ]], "Default")</f>
        <v>1</v>
      </c>
      <c r="D576">
        <f>COUNTIFS(fin_table[Branch Code],B576,fin_table[[loan Default ]], "Default")</f>
        <v>1</v>
      </c>
      <c r="K576" t="str">
        <v>BR438</v>
      </c>
      <c r="L576">
        <f>COUNTIFS(fin_table[Branch Code],K576,fin_table[Risk Level],"High-Risk")</f>
        <v>0</v>
      </c>
    </row>
    <row r="577" spans="2:12" x14ac:dyDescent="0.35">
      <c r="B577" t="s">
        <v>3249</v>
      </c>
      <c r="C577">
        <f>COUNTIFS(fin_table[Branch Code],B577,fin_table[[loan Default ]], "Default")</f>
        <v>1</v>
      </c>
      <c r="D577">
        <f>COUNTIFS(fin_table[Branch Code],B577,fin_table[[loan Default ]], "Default")</f>
        <v>1</v>
      </c>
      <c r="K577" t="str">
        <v>BR360</v>
      </c>
      <c r="L577">
        <f>COUNTIFS(fin_table[Branch Code],K577,fin_table[Risk Level],"High-Risk")</f>
        <v>1</v>
      </c>
    </row>
    <row r="578" spans="2:12" x14ac:dyDescent="0.35">
      <c r="B578" t="s">
        <v>3268</v>
      </c>
      <c r="C578">
        <f>COUNTIFS(fin_table[Branch Code],B578,fin_table[[loan Default ]], "Default")</f>
        <v>0</v>
      </c>
      <c r="D578">
        <f>COUNTIFS(fin_table[Branch Code],B578,fin_table[[loan Default ]], "Default")</f>
        <v>0</v>
      </c>
      <c r="K578" t="str">
        <v>BR791</v>
      </c>
      <c r="L578">
        <f>COUNTIFS(fin_table[Branch Code],K578,fin_table[Risk Level],"High-Risk")</f>
        <v>1</v>
      </c>
    </row>
    <row r="579" spans="2:12" x14ac:dyDescent="0.35">
      <c r="B579" t="s">
        <v>3272</v>
      </c>
      <c r="C579">
        <f>COUNTIFS(fin_table[Branch Code],B579,fin_table[[loan Default ]], "Default")</f>
        <v>0</v>
      </c>
      <c r="D579">
        <f>COUNTIFS(fin_table[Branch Code],B579,fin_table[[loan Default ]], "Default")</f>
        <v>0</v>
      </c>
      <c r="K579" t="str">
        <v>BR861</v>
      </c>
      <c r="L579">
        <f>COUNTIFS(fin_table[Branch Code],K579,fin_table[Risk Level],"High-Risk")</f>
        <v>0</v>
      </c>
    </row>
    <row r="580" spans="2:12" x14ac:dyDescent="0.35">
      <c r="B580" t="s">
        <v>3279</v>
      </c>
      <c r="C580">
        <f>COUNTIFS(fin_table[Branch Code],B580,fin_table[[loan Default ]], "Default")</f>
        <v>0</v>
      </c>
      <c r="D580">
        <f>COUNTIFS(fin_table[Branch Code],B580,fin_table[[loan Default ]], "Default")</f>
        <v>0</v>
      </c>
      <c r="K580" t="str">
        <v>BR571</v>
      </c>
      <c r="L580">
        <f>COUNTIFS(fin_table[Branch Code],K580,fin_table[Risk Level],"High-Risk")</f>
        <v>0</v>
      </c>
    </row>
    <row r="581" spans="2:12" x14ac:dyDescent="0.35">
      <c r="B581" t="s">
        <v>3295</v>
      </c>
      <c r="C581">
        <f>COUNTIFS(fin_table[Branch Code],B581,fin_table[[loan Default ]], "Default")</f>
        <v>1</v>
      </c>
      <c r="D581">
        <f>COUNTIFS(fin_table[Branch Code],B581,fin_table[[loan Default ]], "Default")</f>
        <v>1</v>
      </c>
      <c r="K581" t="str">
        <v>BR395</v>
      </c>
      <c r="L581">
        <f>COUNTIFS(fin_table[Branch Code],K581,fin_table[Risk Level],"High-Risk")</f>
        <v>0</v>
      </c>
    </row>
    <row r="582" spans="2:12" x14ac:dyDescent="0.35">
      <c r="B582" t="s">
        <v>3299</v>
      </c>
      <c r="C582">
        <f>COUNTIFS(fin_table[Branch Code],B582,fin_table[[loan Default ]], "Default")</f>
        <v>0</v>
      </c>
      <c r="D582">
        <f>COUNTIFS(fin_table[Branch Code],B582,fin_table[[loan Default ]], "Default")</f>
        <v>0</v>
      </c>
      <c r="K582" t="str">
        <v>BR105</v>
      </c>
      <c r="L582">
        <f>COUNTIFS(fin_table[Branch Code],K582,fin_table[Risk Level],"High-Risk")</f>
        <v>0</v>
      </c>
    </row>
    <row r="583" spans="2:12" x14ac:dyDescent="0.35">
      <c r="B583" t="s">
        <v>3309</v>
      </c>
      <c r="C583">
        <f>COUNTIFS(fin_table[Branch Code],B583,fin_table[[loan Default ]], "Default")</f>
        <v>1</v>
      </c>
      <c r="D583">
        <f>COUNTIFS(fin_table[Branch Code],B583,fin_table[[loan Default ]], "Default")</f>
        <v>1</v>
      </c>
      <c r="K583" t="str">
        <v>BR967</v>
      </c>
      <c r="L583">
        <f>COUNTIFS(fin_table[Branch Code],K583,fin_table[Risk Level],"High-Risk")</f>
        <v>0</v>
      </c>
    </row>
    <row r="584" spans="2:12" x14ac:dyDescent="0.35">
      <c r="B584" t="s">
        <v>3316</v>
      </c>
      <c r="C584">
        <f>COUNTIFS(fin_table[Branch Code],B584,fin_table[[loan Default ]], "Default")</f>
        <v>0</v>
      </c>
      <c r="D584">
        <f>COUNTIFS(fin_table[Branch Code],B584,fin_table[[loan Default ]], "Default")</f>
        <v>0</v>
      </c>
      <c r="K584" t="str">
        <v>BR302</v>
      </c>
      <c r="L584">
        <f>COUNTIFS(fin_table[Branch Code],K584,fin_table[Risk Level],"High-Risk")</f>
        <v>0</v>
      </c>
    </row>
    <row r="585" spans="2:12" x14ac:dyDescent="0.35">
      <c r="B585" t="s">
        <v>3326</v>
      </c>
      <c r="C585">
        <f>COUNTIFS(fin_table[Branch Code],B585,fin_table[[loan Default ]], "Default")</f>
        <v>1</v>
      </c>
      <c r="D585">
        <f>COUNTIFS(fin_table[Branch Code],B585,fin_table[[loan Default ]], "Default")</f>
        <v>1</v>
      </c>
      <c r="K585" t="str">
        <v>BR884</v>
      </c>
      <c r="L585">
        <f>COUNTIFS(fin_table[Branch Code],K585,fin_table[Risk Level],"High-Risk")</f>
        <v>0</v>
      </c>
    </row>
    <row r="586" spans="2:12" x14ac:dyDescent="0.35">
      <c r="B586" t="s">
        <v>3332</v>
      </c>
      <c r="C586">
        <f>COUNTIFS(fin_table[Branch Code],B586,fin_table[[loan Default ]], "Default")</f>
        <v>0</v>
      </c>
      <c r="D586">
        <f>COUNTIFS(fin_table[Branch Code],B586,fin_table[[loan Default ]], "Default")</f>
        <v>0</v>
      </c>
      <c r="K586" t="str">
        <v>BR426</v>
      </c>
      <c r="L586">
        <f>COUNTIFS(fin_table[Branch Code],K586,fin_table[Risk Level],"High-Risk")</f>
        <v>0</v>
      </c>
    </row>
    <row r="587" spans="2:12" x14ac:dyDescent="0.35">
      <c r="B587" t="s">
        <v>3339</v>
      </c>
      <c r="C587">
        <f>COUNTIFS(fin_table[Branch Code],B587,fin_table[[loan Default ]], "Default")</f>
        <v>1</v>
      </c>
      <c r="D587">
        <f>COUNTIFS(fin_table[Branch Code],B587,fin_table[[loan Default ]], "Default")</f>
        <v>1</v>
      </c>
      <c r="K587" t="str">
        <v>BR860</v>
      </c>
      <c r="L587">
        <f>COUNTIFS(fin_table[Branch Code],K587,fin_table[Risk Level],"High-Risk")</f>
        <v>0</v>
      </c>
    </row>
    <row r="588" spans="2:12" x14ac:dyDescent="0.35">
      <c r="B588" t="s">
        <v>3359</v>
      </c>
      <c r="C588">
        <f>COUNTIFS(fin_table[Branch Code],B588,fin_table[[loan Default ]], "Default")</f>
        <v>0</v>
      </c>
      <c r="D588">
        <f>COUNTIFS(fin_table[Branch Code],B588,fin_table[[loan Default ]], "Default")</f>
        <v>0</v>
      </c>
      <c r="K588" t="str">
        <v>BR441</v>
      </c>
      <c r="L588">
        <f>COUNTIFS(fin_table[Branch Code],K588,fin_table[Risk Level],"High-Risk")</f>
        <v>0</v>
      </c>
    </row>
    <row r="589" spans="2:12" x14ac:dyDescent="0.35">
      <c r="B589" t="s">
        <v>3366</v>
      </c>
      <c r="C589">
        <f>COUNTIFS(fin_table[Branch Code],B589,fin_table[[loan Default ]], "Default")</f>
        <v>1</v>
      </c>
      <c r="D589">
        <f>COUNTIFS(fin_table[Branch Code],B589,fin_table[[loan Default ]], "Default")</f>
        <v>1</v>
      </c>
      <c r="K589" t="str">
        <v>BR891</v>
      </c>
      <c r="L589">
        <f>COUNTIFS(fin_table[Branch Code],K589,fin_table[Risk Level],"High-Risk")</f>
        <v>0</v>
      </c>
    </row>
    <row r="590" spans="2:12" x14ac:dyDescent="0.35">
      <c r="B590" t="s">
        <v>3378</v>
      </c>
      <c r="C590">
        <f>COUNTIFS(fin_table[Branch Code],B590,fin_table[[loan Default ]], "Default")</f>
        <v>0</v>
      </c>
      <c r="D590">
        <f>COUNTIFS(fin_table[Branch Code],B590,fin_table[[loan Default ]], "Default")</f>
        <v>0</v>
      </c>
      <c r="K590" t="str">
        <v>BR871</v>
      </c>
      <c r="L590">
        <f>COUNTIFS(fin_table[Branch Code],K590,fin_table[Risk Level],"High-Risk")</f>
        <v>1</v>
      </c>
    </row>
    <row r="591" spans="2:12" x14ac:dyDescent="0.35">
      <c r="B591" t="s">
        <v>3385</v>
      </c>
      <c r="C591">
        <f>COUNTIFS(fin_table[Branch Code],B591,fin_table[[loan Default ]], "Default")</f>
        <v>1</v>
      </c>
      <c r="D591">
        <f>COUNTIFS(fin_table[Branch Code],B591,fin_table[[loan Default ]], "Default")</f>
        <v>1</v>
      </c>
      <c r="K591" t="str">
        <v>BR145</v>
      </c>
      <c r="L591">
        <f>COUNTIFS(fin_table[Branch Code],K591,fin_table[Risk Level],"High-Risk")</f>
        <v>0</v>
      </c>
    </row>
    <row r="592" spans="2:12" x14ac:dyDescent="0.35">
      <c r="B592" t="s">
        <v>3395</v>
      </c>
      <c r="C592">
        <f>COUNTIFS(fin_table[Branch Code],B592,fin_table[[loan Default ]], "Default")</f>
        <v>0</v>
      </c>
      <c r="D592">
        <f>COUNTIFS(fin_table[Branch Code],B592,fin_table[[loan Default ]], "Default")</f>
        <v>0</v>
      </c>
      <c r="K592" t="str">
        <v>BR654</v>
      </c>
      <c r="L592">
        <f>COUNTIFS(fin_table[Branch Code],K592,fin_table[Risk Level],"High-Risk")</f>
        <v>0</v>
      </c>
    </row>
    <row r="593" spans="2:12" x14ac:dyDescent="0.35">
      <c r="B593" t="s">
        <v>3402</v>
      </c>
      <c r="C593">
        <f>COUNTIFS(fin_table[Branch Code],B593,fin_table[[loan Default ]], "Default")</f>
        <v>0</v>
      </c>
      <c r="D593">
        <f>COUNTIFS(fin_table[Branch Code],B593,fin_table[[loan Default ]], "Default")</f>
        <v>0</v>
      </c>
      <c r="K593" t="str">
        <v>BR960</v>
      </c>
      <c r="L593">
        <f>COUNTIFS(fin_table[Branch Code],K593,fin_table[Risk Level],"High-Risk")</f>
        <v>0</v>
      </c>
    </row>
    <row r="594" spans="2:12" x14ac:dyDescent="0.35">
      <c r="B594" t="s">
        <v>3406</v>
      </c>
      <c r="C594">
        <f>COUNTIFS(fin_table[Branch Code],B594,fin_table[[loan Default ]], "Default")</f>
        <v>0</v>
      </c>
      <c r="D594">
        <f>COUNTIFS(fin_table[Branch Code],B594,fin_table[[loan Default ]], "Default")</f>
        <v>0</v>
      </c>
      <c r="K594" t="str">
        <v>BR714</v>
      </c>
      <c r="L594">
        <f>COUNTIFS(fin_table[Branch Code],K594,fin_table[Risk Level],"High-Risk")</f>
        <v>0</v>
      </c>
    </row>
    <row r="595" spans="2:12" x14ac:dyDescent="0.35">
      <c r="B595" t="s">
        <v>3410</v>
      </c>
      <c r="C595">
        <f>COUNTIFS(fin_table[Branch Code],B595,fin_table[[loan Default ]], "Default")</f>
        <v>1</v>
      </c>
      <c r="D595">
        <f>COUNTIFS(fin_table[Branch Code],B595,fin_table[[loan Default ]], "Default")</f>
        <v>1</v>
      </c>
      <c r="K595" t="str">
        <v>BR223</v>
      </c>
      <c r="L595">
        <f>COUNTIFS(fin_table[Branch Code],K595,fin_table[Risk Level],"High-Risk")</f>
        <v>0</v>
      </c>
    </row>
    <row r="596" spans="2:12" x14ac:dyDescent="0.35">
      <c r="B596" t="s">
        <v>3423</v>
      </c>
      <c r="C596">
        <f>COUNTIFS(fin_table[Branch Code],B596,fin_table[[loan Default ]], "Default")</f>
        <v>1</v>
      </c>
      <c r="D596">
        <f>COUNTIFS(fin_table[Branch Code],B596,fin_table[[loan Default ]], "Default")</f>
        <v>1</v>
      </c>
      <c r="K596" t="str">
        <v>BR642</v>
      </c>
      <c r="L596">
        <f>COUNTIFS(fin_table[Branch Code],K596,fin_table[Risk Level],"High-Risk")</f>
        <v>0</v>
      </c>
    </row>
    <row r="597" spans="2:12" x14ac:dyDescent="0.35">
      <c r="B597" t="s">
        <v>3439</v>
      </c>
      <c r="C597">
        <f>COUNTIFS(fin_table[Branch Code],B597,fin_table[[loan Default ]], "Default")</f>
        <v>0</v>
      </c>
      <c r="D597">
        <f>COUNTIFS(fin_table[Branch Code],B597,fin_table[[loan Default ]], "Default")</f>
        <v>0</v>
      </c>
      <c r="K597" t="str">
        <v>BR985</v>
      </c>
      <c r="L597">
        <f>COUNTIFS(fin_table[Branch Code],K597,fin_table[Risk Level],"High-Risk")</f>
        <v>0</v>
      </c>
    </row>
    <row r="598" spans="2:12" x14ac:dyDescent="0.35">
      <c r="B598" t="s">
        <v>3448</v>
      </c>
      <c r="C598">
        <f>COUNTIFS(fin_table[Branch Code],B598,fin_table[[loan Default ]], "Default")</f>
        <v>1</v>
      </c>
      <c r="D598">
        <f>COUNTIFS(fin_table[Branch Code],B598,fin_table[[loan Default ]], "Default")</f>
        <v>1</v>
      </c>
      <c r="K598" t="str">
        <v>BR316</v>
      </c>
      <c r="L598">
        <f>COUNTIFS(fin_table[Branch Code],K598,fin_table[Risk Level],"High-Risk")</f>
        <v>0</v>
      </c>
    </row>
    <row r="599" spans="2:12" x14ac:dyDescent="0.35">
      <c r="B599" t="s">
        <v>3452</v>
      </c>
      <c r="C599">
        <f>COUNTIFS(fin_table[Branch Code],B599,fin_table[[loan Default ]], "Default")</f>
        <v>1</v>
      </c>
      <c r="D599">
        <f>COUNTIFS(fin_table[Branch Code],B599,fin_table[[loan Default ]], "Default")</f>
        <v>1</v>
      </c>
      <c r="K599" t="str">
        <v>BR101</v>
      </c>
      <c r="L599">
        <f>COUNTIFS(fin_table[Branch Code],K599,fin_table[Risk Level],"High-Risk")</f>
        <v>0</v>
      </c>
    </row>
    <row r="600" spans="2:12" x14ac:dyDescent="0.35">
      <c r="B600" t="s">
        <v>3456</v>
      </c>
      <c r="C600">
        <f>COUNTIFS(fin_table[Branch Code],B600,fin_table[[loan Default ]], "Default")</f>
        <v>1</v>
      </c>
      <c r="D600">
        <f>COUNTIFS(fin_table[Branch Code],B600,fin_table[[loan Default ]], "Default")</f>
        <v>1</v>
      </c>
      <c r="K600" t="str">
        <v>BR635</v>
      </c>
      <c r="L600">
        <f>COUNTIFS(fin_table[Branch Code],K600,fin_table[Risk Level],"High-Risk")</f>
        <v>0</v>
      </c>
    </row>
    <row r="601" spans="2:12" x14ac:dyDescent="0.35">
      <c r="B601" t="s">
        <v>3472</v>
      </c>
      <c r="C601">
        <f>COUNTIFS(fin_table[Branch Code],B601,fin_table[[loan Default ]], "Default")</f>
        <v>1</v>
      </c>
      <c r="D601">
        <f>COUNTIFS(fin_table[Branch Code],B601,fin_table[[loan Default ]], "Default")</f>
        <v>1</v>
      </c>
      <c r="K601" t="str">
        <v>BR725</v>
      </c>
      <c r="L601">
        <f>COUNTIFS(fin_table[Branch Code],K601,fin_table[Risk Level],"High-Risk")</f>
        <v>0</v>
      </c>
    </row>
    <row r="602" spans="2:12" x14ac:dyDescent="0.35">
      <c r="B602" t="s">
        <v>3484</v>
      </c>
      <c r="C602">
        <f>COUNTIFS(fin_table[Branch Code],B602,fin_table[[loan Default ]], "Default")</f>
        <v>0</v>
      </c>
      <c r="D602">
        <f>COUNTIFS(fin_table[Branch Code],B602,fin_table[[loan Default ]], "Default")</f>
        <v>0</v>
      </c>
      <c r="K602" t="str">
        <v>BR833</v>
      </c>
      <c r="L602">
        <f>COUNTIFS(fin_table[Branch Code],K602,fin_table[Risk Level],"High-Risk")</f>
        <v>0</v>
      </c>
    </row>
    <row r="603" spans="2:12" x14ac:dyDescent="0.35">
      <c r="B603" t="s">
        <v>3488</v>
      </c>
      <c r="C603">
        <f>COUNTIFS(fin_table[Branch Code],B603,fin_table[[loan Default ]], "Default")</f>
        <v>0</v>
      </c>
      <c r="D603">
        <f>COUNTIFS(fin_table[Branch Code],B603,fin_table[[loan Default ]], "Default")</f>
        <v>0</v>
      </c>
      <c r="K603" t="str">
        <v>BR190</v>
      </c>
      <c r="L603">
        <f>COUNTIFS(fin_table[Branch Code],K603,fin_table[Risk Level],"High-Risk")</f>
        <v>0</v>
      </c>
    </row>
    <row r="604" spans="2:12" x14ac:dyDescent="0.35">
      <c r="B604" t="s">
        <v>3497</v>
      </c>
      <c r="C604">
        <f>COUNTIFS(fin_table[Branch Code],B604,fin_table[[loan Default ]], "Default")</f>
        <v>0</v>
      </c>
      <c r="D604">
        <f>COUNTIFS(fin_table[Branch Code],B604,fin_table[[loan Default ]], "Default")</f>
        <v>0</v>
      </c>
      <c r="K604" t="str">
        <v>BR381</v>
      </c>
      <c r="L604">
        <f>COUNTIFS(fin_table[Branch Code],K604,fin_table[Risk Level],"High-Risk")</f>
        <v>0</v>
      </c>
    </row>
    <row r="605" spans="2:12" x14ac:dyDescent="0.35">
      <c r="B605" t="s">
        <v>3528</v>
      </c>
      <c r="C605">
        <f>COUNTIFS(fin_table[Branch Code],B605,fin_table[[loan Default ]], "Default")</f>
        <v>0</v>
      </c>
      <c r="D605">
        <f>COUNTIFS(fin_table[Branch Code],B605,fin_table[[loan Default ]], "Default")</f>
        <v>0</v>
      </c>
      <c r="K605" t="str">
        <v>BR494</v>
      </c>
      <c r="L605">
        <f>COUNTIFS(fin_table[Branch Code],K605,fin_table[Risk Level],"High-Risk")</f>
        <v>0</v>
      </c>
    </row>
    <row r="606" spans="2:12" x14ac:dyDescent="0.35">
      <c r="B606" t="s">
        <v>3544</v>
      </c>
      <c r="C606">
        <f>COUNTIFS(fin_table[Branch Code],B606,fin_table[[loan Default ]], "Default")</f>
        <v>1</v>
      </c>
      <c r="D606">
        <f>COUNTIFS(fin_table[Branch Code],B606,fin_table[[loan Default ]], "Default")</f>
        <v>1</v>
      </c>
      <c r="K606" t="str">
        <v>BR775</v>
      </c>
      <c r="L606">
        <f>COUNTIFS(fin_table[Branch Code],K606,fin_table[Risk Level],"High-Risk")</f>
        <v>0</v>
      </c>
    </row>
    <row r="607" spans="2:12" x14ac:dyDescent="0.35">
      <c r="B607" t="s">
        <v>3559</v>
      </c>
      <c r="C607">
        <f>COUNTIFS(fin_table[Branch Code],B607,fin_table[[loan Default ]], "Default")</f>
        <v>1</v>
      </c>
      <c r="D607">
        <f>COUNTIFS(fin_table[Branch Code],B607,fin_table[[loan Default ]], "Default")</f>
        <v>1</v>
      </c>
      <c r="K607" t="str">
        <v>BR632</v>
      </c>
      <c r="L607">
        <f>COUNTIFS(fin_table[Branch Code],K607,fin_table[Risk Level],"High-Risk")</f>
        <v>0</v>
      </c>
    </row>
    <row r="608" spans="2:12" x14ac:dyDescent="0.35">
      <c r="B608" t="s">
        <v>3563</v>
      </c>
      <c r="C608">
        <f>COUNTIFS(fin_table[Branch Code],B608,fin_table[[loan Default ]], "Default")</f>
        <v>0</v>
      </c>
      <c r="D608">
        <f>COUNTIFS(fin_table[Branch Code],B608,fin_table[[loan Default ]], "Default")</f>
        <v>0</v>
      </c>
      <c r="K608" t="str">
        <v>BR240</v>
      </c>
      <c r="L608">
        <f>COUNTIFS(fin_table[Branch Code],K608,fin_table[Risk Level],"High-Risk")</f>
        <v>0</v>
      </c>
    </row>
    <row r="609" spans="2:12" x14ac:dyDescent="0.35">
      <c r="B609" t="s">
        <v>3573</v>
      </c>
      <c r="C609">
        <f>COUNTIFS(fin_table[Branch Code],B609,fin_table[[loan Default ]], "Default")</f>
        <v>0</v>
      </c>
      <c r="D609">
        <f>COUNTIFS(fin_table[Branch Code],B609,fin_table[[loan Default ]], "Default")</f>
        <v>0</v>
      </c>
      <c r="K609" t="str">
        <v>BR558</v>
      </c>
      <c r="L609">
        <f>COUNTIFS(fin_table[Branch Code],K609,fin_table[Risk Level],"High-Risk")</f>
        <v>0</v>
      </c>
    </row>
    <row r="610" spans="2:12" x14ac:dyDescent="0.35">
      <c r="B610" t="s">
        <v>3576</v>
      </c>
      <c r="C610">
        <f>COUNTIFS(fin_table[Branch Code],B610,fin_table[[loan Default ]], "Default")</f>
        <v>1</v>
      </c>
      <c r="D610">
        <f>COUNTIFS(fin_table[Branch Code],B610,fin_table[[loan Default ]], "Default")</f>
        <v>1</v>
      </c>
      <c r="K610" t="str">
        <v>BR169</v>
      </c>
      <c r="L610">
        <f>COUNTIFS(fin_table[Branch Code],K610,fin_table[Risk Level],"High-Risk")</f>
        <v>1</v>
      </c>
    </row>
    <row r="611" spans="2:12" x14ac:dyDescent="0.35">
      <c r="B611" t="s">
        <v>3580</v>
      </c>
      <c r="C611">
        <f>COUNTIFS(fin_table[Branch Code],B611,fin_table[[loan Default ]], "Default")</f>
        <v>1</v>
      </c>
      <c r="D611">
        <f>COUNTIFS(fin_table[Branch Code],B611,fin_table[[loan Default ]], "Default")</f>
        <v>1</v>
      </c>
      <c r="K611" t="str">
        <v>BR484</v>
      </c>
      <c r="L611">
        <f>COUNTIFS(fin_table[Branch Code],K611,fin_table[Risk Level],"High-Risk")</f>
        <v>0</v>
      </c>
    </row>
    <row r="612" spans="2:12" x14ac:dyDescent="0.35">
      <c r="B612" t="s">
        <v>3587</v>
      </c>
      <c r="C612">
        <f>COUNTIFS(fin_table[Branch Code],B612,fin_table[[loan Default ]], "Default")</f>
        <v>1</v>
      </c>
      <c r="D612">
        <f>COUNTIFS(fin_table[Branch Code],B612,fin_table[[loan Default ]], "Default")</f>
        <v>1</v>
      </c>
      <c r="K612" t="str">
        <v>BR297</v>
      </c>
      <c r="L612">
        <f>COUNTIFS(fin_table[Branch Code],K612,fin_table[Risk Level],"High-Risk")</f>
        <v>0</v>
      </c>
    </row>
  </sheetData>
  <mergeCells count="4">
    <mergeCell ref="B9:G10"/>
    <mergeCell ref="B2:F4"/>
    <mergeCell ref="K10:P10"/>
    <mergeCell ref="Q10:S10"/>
  </mergeCells>
  <conditionalFormatting sqref="C12:C612">
    <cfRule type="colorScale" priority="6">
      <colorScale>
        <cfvo type="min"/>
        <cfvo type="max"/>
        <color rgb="FFF8696B"/>
        <color rgb="FFFCFCFF"/>
      </colorScale>
    </cfRule>
  </conditionalFormatting>
  <conditionalFormatting sqref="D12:D612">
    <cfRule type="iconSet" priority="3">
      <iconSet iconSet="3Symbols" showValue="0" reverse="1">
        <cfvo type="percent" val="0"/>
        <cfvo type="percent" val="2"/>
        <cfvo type="percent" val="2"/>
      </iconSet>
    </cfRule>
  </conditionalFormatting>
  <conditionalFormatting sqref="O12:O61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8D19E-4279-4DB4-806C-16AFAABCD834}">
  <sheetPr>
    <tabColor theme="4" tint="-0.499984740745262"/>
  </sheetPr>
  <dimension ref="B3:N2011"/>
  <sheetViews>
    <sheetView showGridLines="0" topLeftCell="D27" workbookViewId="0">
      <selection activeCell="I39" sqref="I39"/>
    </sheetView>
  </sheetViews>
  <sheetFormatPr defaultRowHeight="14.5" x14ac:dyDescent="0.35"/>
  <cols>
    <col min="2" max="2" width="11.453125" bestFit="1" customWidth="1"/>
    <col min="3" max="3" width="17.54296875" bestFit="1" customWidth="1"/>
    <col min="4" max="4" width="15.1796875" bestFit="1" customWidth="1"/>
    <col min="5" max="5" width="13.7265625" bestFit="1" customWidth="1"/>
    <col min="6" max="6" width="11.08984375" customWidth="1"/>
    <col min="7" max="7" width="7.26953125" customWidth="1"/>
    <col min="8" max="8" width="6" bestFit="1" customWidth="1"/>
    <col min="9" max="9" width="15.6328125" bestFit="1" customWidth="1"/>
    <col min="11" max="11" width="12.1796875" bestFit="1" customWidth="1"/>
    <col min="12" max="12" width="18.36328125" customWidth="1"/>
  </cols>
  <sheetData>
    <row r="3" spans="2:14" ht="14.5" customHeight="1" x14ac:dyDescent="0.35">
      <c r="B3" s="113" t="s">
        <v>3742</v>
      </c>
      <c r="C3" s="113"/>
      <c r="D3" s="113"/>
      <c r="E3" s="113"/>
      <c r="F3" s="113"/>
    </row>
    <row r="4" spans="2:14" ht="14.5" customHeight="1" x14ac:dyDescent="0.35">
      <c r="B4" s="113"/>
      <c r="C4" s="113"/>
      <c r="D4" s="113"/>
      <c r="E4" s="113"/>
      <c r="F4" s="113"/>
    </row>
    <row r="5" spans="2:14" ht="14.5" customHeight="1" x14ac:dyDescent="0.35">
      <c r="B5" s="113"/>
      <c r="C5" s="113"/>
      <c r="D5" s="113"/>
      <c r="E5" s="113"/>
      <c r="F5" s="113"/>
    </row>
    <row r="6" spans="2:14" ht="14.5" customHeight="1" x14ac:dyDescent="0.35">
      <c r="B6" s="113"/>
      <c r="C6" s="113"/>
      <c r="D6" s="113"/>
      <c r="E6" s="113"/>
      <c r="F6" s="113"/>
    </row>
    <row r="9" spans="2:14" ht="14.5" customHeight="1" x14ac:dyDescent="0.35">
      <c r="B9" s="86" t="s">
        <v>3743</v>
      </c>
      <c r="C9" s="86"/>
      <c r="D9" s="86"/>
      <c r="E9" s="86"/>
      <c r="F9" s="86"/>
      <c r="H9" s="86" t="s">
        <v>3746</v>
      </c>
      <c r="I9" s="86"/>
      <c r="J9" s="86"/>
      <c r="K9" s="86"/>
      <c r="L9" s="86"/>
      <c r="M9" s="114"/>
      <c r="N9" s="114"/>
    </row>
    <row r="10" spans="2:14" ht="14.5" customHeight="1" x14ac:dyDescent="0.35">
      <c r="B10" s="86"/>
      <c r="C10" s="86"/>
      <c r="D10" s="86"/>
      <c r="E10" s="86"/>
      <c r="F10" s="86"/>
      <c r="H10" s="86"/>
      <c r="I10" s="86"/>
      <c r="J10" s="86"/>
      <c r="K10" s="86"/>
      <c r="L10" s="86"/>
      <c r="M10" s="114"/>
      <c r="N10" s="114"/>
    </row>
    <row r="12" spans="2:14" x14ac:dyDescent="0.35">
      <c r="B12" s="54" t="s">
        <v>11</v>
      </c>
      <c r="C12" s="54" t="s">
        <v>3744</v>
      </c>
      <c r="D12" s="54" t="s">
        <v>3745</v>
      </c>
      <c r="I12" s="54" t="s">
        <v>3747</v>
      </c>
    </row>
    <row r="13" spans="2:14" x14ac:dyDescent="0.35">
      <c r="B13" t="str" cm="1">
        <f t="array" ref="B13:B613">_xlfn.UNIQUE(fin_table[Branch Code])</f>
        <v>BR901</v>
      </c>
      <c r="C13">
        <f>COUNTIF(fin_table[],B13)</f>
        <v>3</v>
      </c>
      <c r="D13" s="5">
        <f>SUMIF(fin_table[Branch Code],B13,fin_table[Loan Amount])</f>
        <v>94451.244999999995</v>
      </c>
      <c r="H13" s="13" t="s">
        <v>355</v>
      </c>
      <c r="I13">
        <v>6</v>
      </c>
    </row>
    <row r="14" spans="2:14" x14ac:dyDescent="0.35">
      <c r="B14" t="str">
        <v>BR209</v>
      </c>
      <c r="C14">
        <f>COUNTIF(fin_table[],B14)</f>
        <v>3</v>
      </c>
      <c r="D14" s="5">
        <f>SUMIF(fin_table[Branch Code],B14,fin_table[Loan Amount])</f>
        <v>80044.964999999997</v>
      </c>
      <c r="H14" s="13" t="s">
        <v>72</v>
      </c>
      <c r="I14">
        <v>5</v>
      </c>
      <c r="K14" s="30"/>
    </row>
    <row r="15" spans="2:14" x14ac:dyDescent="0.35">
      <c r="B15" t="str">
        <v>BR660</v>
      </c>
      <c r="C15">
        <f>COUNTIF(fin_table[],B15)</f>
        <v>2</v>
      </c>
      <c r="D15" s="5">
        <f>SUMIF(fin_table[Branch Code],B15,fin_table[Loan Amount])</f>
        <v>53363.31</v>
      </c>
      <c r="H15" s="13" t="s">
        <v>351</v>
      </c>
      <c r="I15">
        <v>5</v>
      </c>
    </row>
    <row r="16" spans="2:14" x14ac:dyDescent="0.35">
      <c r="B16" t="str">
        <v>BR740</v>
      </c>
      <c r="C16">
        <f>COUNTIF(fin_table[],B16)</f>
        <v>1</v>
      </c>
      <c r="D16" s="5">
        <f>SUMIF(fin_table[Branch Code],B16,fin_table[Loan Amount])</f>
        <v>48444.9</v>
      </c>
      <c r="H16" s="13" t="s">
        <v>601</v>
      </c>
      <c r="I16">
        <v>5</v>
      </c>
    </row>
    <row r="17" spans="2:9" x14ac:dyDescent="0.35">
      <c r="B17" t="str">
        <v>BR684</v>
      </c>
      <c r="C17">
        <f>COUNTIF(fin_table[],B17)</f>
        <v>4</v>
      </c>
      <c r="D17" s="5">
        <f>SUMIF(fin_table[Branch Code],B17,fin_table[Loan Amount])</f>
        <v>102825.29000000001</v>
      </c>
      <c r="H17" s="13" t="s">
        <v>493</v>
      </c>
      <c r="I17">
        <v>5</v>
      </c>
    </row>
    <row r="18" spans="2:9" x14ac:dyDescent="0.35">
      <c r="B18" t="str">
        <v>BR439</v>
      </c>
      <c r="C18">
        <f>COUNTIF(fin_table[],B18)</f>
        <v>1</v>
      </c>
      <c r="D18" s="5">
        <f>SUMIF(fin_table[Branch Code],B18,fin_table[Loan Amount])</f>
        <v>16947.46</v>
      </c>
      <c r="H18" s="13" t="s">
        <v>516</v>
      </c>
      <c r="I18">
        <v>4</v>
      </c>
    </row>
    <row r="19" spans="2:9" x14ac:dyDescent="0.35">
      <c r="B19" t="str">
        <v>BR664</v>
      </c>
      <c r="C19">
        <f>COUNTIF(fin_table[],B19)</f>
        <v>1</v>
      </c>
      <c r="D19" s="5">
        <f>SUMIF(fin_table[Branch Code],B19,fin_table[Loan Amount])</f>
        <v>18616.650000000001</v>
      </c>
      <c r="H19" s="13" t="s">
        <v>367</v>
      </c>
      <c r="I19">
        <v>4</v>
      </c>
    </row>
    <row r="20" spans="2:9" x14ac:dyDescent="0.35">
      <c r="B20" t="str">
        <v>BR455</v>
      </c>
      <c r="C20">
        <f>COUNTIF(fin_table[],B20)</f>
        <v>5</v>
      </c>
      <c r="D20" s="5">
        <f>SUMIF(fin_table[Branch Code],B20,fin_table[Loan Amount])</f>
        <v>133359.96</v>
      </c>
      <c r="H20" s="13" t="s">
        <v>391</v>
      </c>
      <c r="I20">
        <v>4</v>
      </c>
    </row>
    <row r="21" spans="2:9" x14ac:dyDescent="0.35">
      <c r="B21" t="str">
        <v>BR991</v>
      </c>
      <c r="C21">
        <f>COUNTIF(fin_table[],B21)</f>
        <v>1</v>
      </c>
      <c r="D21" s="5">
        <f>SUMIF(fin_table[Branch Code],B21,fin_table[Loan Amount])</f>
        <v>26681.654999999999</v>
      </c>
      <c r="H21" s="13" t="s">
        <v>92</v>
      </c>
      <c r="I21">
        <v>4</v>
      </c>
    </row>
    <row r="22" spans="2:9" x14ac:dyDescent="0.35">
      <c r="B22" t="str">
        <v>BR267</v>
      </c>
      <c r="C22">
        <f>COUNTIF(fin_table[],B22)</f>
        <v>2</v>
      </c>
      <c r="D22" s="5">
        <f>SUMIF(fin_table[Branch Code],B22,fin_table[Loan Amount])</f>
        <v>53363.31</v>
      </c>
      <c r="H22" s="13" t="s">
        <v>1128</v>
      </c>
      <c r="I22">
        <v>4</v>
      </c>
    </row>
    <row r="23" spans="2:9" x14ac:dyDescent="0.35">
      <c r="B23" t="str">
        <v>BR656</v>
      </c>
      <c r="C23">
        <f>COUNTIF(fin_table[],B23)</f>
        <v>2</v>
      </c>
      <c r="D23" s="5">
        <f>SUMIF(fin_table[Branch Code],B23,fin_table[Loan Amount])</f>
        <v>53676.724999999999</v>
      </c>
      <c r="H23" s="13" t="s">
        <v>2199</v>
      </c>
      <c r="I23">
        <v>4</v>
      </c>
    </row>
    <row r="24" spans="2:9" x14ac:dyDescent="0.35">
      <c r="B24" t="str">
        <v>BR551</v>
      </c>
      <c r="C24">
        <f>COUNTIF(fin_table[],B24)</f>
        <v>1</v>
      </c>
      <c r="D24" s="5">
        <f>SUMIF(fin_table[Branch Code],B24,fin_table[Loan Amount])</f>
        <v>26681.654999999999</v>
      </c>
      <c r="H24" s="13" t="s">
        <v>538</v>
      </c>
      <c r="I24">
        <v>4</v>
      </c>
    </row>
    <row r="25" spans="2:9" x14ac:dyDescent="0.35">
      <c r="B25" t="str">
        <v>BR204</v>
      </c>
      <c r="C25">
        <f>COUNTIF(fin_table[],B25)</f>
        <v>4</v>
      </c>
      <c r="D25" s="5">
        <f>SUMIF(fin_table[Branch Code],B25,fin_table[Loan Amount])</f>
        <v>94879.23000000001</v>
      </c>
      <c r="H25" s="13" t="s">
        <v>469</v>
      </c>
      <c r="I25">
        <v>4</v>
      </c>
    </row>
    <row r="26" spans="2:9" x14ac:dyDescent="0.35">
      <c r="B26" t="str">
        <v>BR249</v>
      </c>
      <c r="C26">
        <f>COUNTIF(fin_table[],B26)</f>
        <v>1</v>
      </c>
      <c r="D26" s="5">
        <f>SUMIF(fin_table[Branch Code],B26,fin_table[Loan Amount])</f>
        <v>26681.654999999999</v>
      </c>
      <c r="H26" s="13" t="s">
        <v>57</v>
      </c>
      <c r="I26">
        <v>4</v>
      </c>
    </row>
    <row r="27" spans="2:9" x14ac:dyDescent="0.35">
      <c r="B27" t="str">
        <v>BR245</v>
      </c>
      <c r="C27">
        <f>COUNTIF(fin_table[],B27)</f>
        <v>2</v>
      </c>
      <c r="D27" s="5">
        <f>SUMIF(fin_table[Branch Code],B27,fin_table[Loan Amount])</f>
        <v>47031.274999999994</v>
      </c>
      <c r="H27" s="13" t="s">
        <v>150</v>
      </c>
      <c r="I27">
        <v>4</v>
      </c>
    </row>
    <row r="28" spans="2:9" x14ac:dyDescent="0.35">
      <c r="B28" t="str">
        <v>BR815</v>
      </c>
      <c r="C28">
        <f>COUNTIF(fin_table[],B28)</f>
        <v>3</v>
      </c>
      <c r="D28" s="5">
        <f>SUMIF(fin_table[Branch Code],B28,fin_table[Loan Amount])</f>
        <v>90092.834999999992</v>
      </c>
      <c r="H28" s="13" t="s">
        <v>113</v>
      </c>
      <c r="I28">
        <v>4</v>
      </c>
    </row>
    <row r="29" spans="2:9" x14ac:dyDescent="0.35">
      <c r="B29" t="str">
        <v>BR973</v>
      </c>
      <c r="C29">
        <f>COUNTIF(fin_table[],B29)</f>
        <v>2</v>
      </c>
      <c r="D29" s="5">
        <f>SUMIF(fin_table[Branch Code],B29,fin_table[Loan Amount])</f>
        <v>40665.845000000001</v>
      </c>
      <c r="H29" s="13" t="s">
        <v>634</v>
      </c>
      <c r="I29">
        <v>4</v>
      </c>
    </row>
    <row r="30" spans="2:9" x14ac:dyDescent="0.35">
      <c r="B30" t="str">
        <v>BR398</v>
      </c>
      <c r="C30">
        <f>COUNTIF(fin_table[],B30)</f>
        <v>4</v>
      </c>
      <c r="D30" s="5">
        <f>SUMIF(fin_table[Branch Code],B30,fin_table[Loan Amount])</f>
        <v>115504.05</v>
      </c>
      <c r="H30" s="13" t="s">
        <v>1411</v>
      </c>
      <c r="I30">
        <v>4</v>
      </c>
    </row>
    <row r="31" spans="2:9" x14ac:dyDescent="0.35">
      <c r="B31" t="str">
        <v>BR266</v>
      </c>
      <c r="C31">
        <f>COUNTIF(fin_table[],B31)</f>
        <v>3</v>
      </c>
      <c r="D31" s="5">
        <f>SUMIF(fin_table[Branch Code],B31,fin_table[Loan Amount])</f>
        <v>63230.09</v>
      </c>
      <c r="H31" s="13" t="s">
        <v>1294</v>
      </c>
      <c r="I31">
        <v>4</v>
      </c>
    </row>
    <row r="32" spans="2:9" x14ac:dyDescent="0.35">
      <c r="B32" t="str">
        <v>BR812</v>
      </c>
      <c r="C32">
        <f>COUNTIF(fin_table[],B32)</f>
        <v>3</v>
      </c>
      <c r="D32" s="5">
        <f>SUMIF(fin_table[Branch Code],B32,fin_table[Loan Amount])</f>
        <v>82688.14</v>
      </c>
      <c r="H32" s="13" t="s">
        <v>682</v>
      </c>
      <c r="I32">
        <v>4</v>
      </c>
    </row>
    <row r="33" spans="2:9" x14ac:dyDescent="0.35">
      <c r="B33" t="str">
        <v>BR745</v>
      </c>
      <c r="C33">
        <f>COUNTIF(fin_table[],B33)</f>
        <v>1</v>
      </c>
      <c r="D33" s="5">
        <f>SUMIF(fin_table[Branch Code],B33,fin_table[Loan Amount])</f>
        <v>26681.654999999999</v>
      </c>
      <c r="H33" s="13" t="s">
        <v>1512</v>
      </c>
      <c r="I33">
        <v>4</v>
      </c>
    </row>
    <row r="34" spans="2:9" x14ac:dyDescent="0.35">
      <c r="B34" t="str">
        <v>BR822</v>
      </c>
      <c r="C34">
        <f>COUNTIF(fin_table[],B34)</f>
        <v>2</v>
      </c>
      <c r="D34" s="5">
        <f>SUMIF(fin_table[Branch Code],B34,fin_table[Loan Amount])</f>
        <v>34017.53</v>
      </c>
      <c r="H34" s="13" t="s">
        <v>505</v>
      </c>
      <c r="I34">
        <v>4</v>
      </c>
    </row>
    <row r="35" spans="2:9" x14ac:dyDescent="0.35">
      <c r="B35" t="str">
        <v>BR147</v>
      </c>
      <c r="C35">
        <f>COUNTIF(fin_table[],B35)</f>
        <v>1</v>
      </c>
      <c r="D35" s="5">
        <f>SUMIF(fin_table[Branch Code],B35,fin_table[Loan Amount])</f>
        <v>26681.654999999999</v>
      </c>
      <c r="H35" s="13" t="s">
        <v>438</v>
      </c>
      <c r="I35">
        <v>4</v>
      </c>
    </row>
    <row r="36" spans="2:9" x14ac:dyDescent="0.35">
      <c r="B36" t="str">
        <v>BR737</v>
      </c>
      <c r="C36">
        <f>COUNTIF(fin_table[],B36)</f>
        <v>1</v>
      </c>
      <c r="D36" s="5">
        <f>SUMIF(fin_table[Branch Code],B36,fin_table[Loan Amount])</f>
        <v>26681.654999999999</v>
      </c>
      <c r="H36" s="13" t="s">
        <v>566</v>
      </c>
      <c r="I36">
        <v>4</v>
      </c>
    </row>
    <row r="37" spans="2:9" x14ac:dyDescent="0.35">
      <c r="B37" t="str">
        <v>BR338</v>
      </c>
      <c r="C37">
        <f>COUNTIF(fin_table[],B37)</f>
        <v>3</v>
      </c>
      <c r="D37" s="5">
        <f>SUMIF(fin_table[Branch Code],B37,fin_table[Loan Amount])</f>
        <v>88466.23</v>
      </c>
      <c r="H37" s="13" t="s">
        <v>1268</v>
      </c>
      <c r="I37">
        <v>4</v>
      </c>
    </row>
    <row r="38" spans="2:9" x14ac:dyDescent="0.35">
      <c r="B38" t="str">
        <v>BR106</v>
      </c>
      <c r="C38">
        <f>COUNTIF(fin_table[],B38)</f>
        <v>1</v>
      </c>
      <c r="D38" s="5">
        <f>SUMIF(fin_table[Branch Code],B38,fin_table[Loan Amount])</f>
        <v>38615.379999999997</v>
      </c>
    </row>
    <row r="39" spans="2:9" x14ac:dyDescent="0.35">
      <c r="B39" t="str">
        <v>BR563</v>
      </c>
      <c r="C39">
        <f>COUNTIF(fin_table[],B39)</f>
        <v>4</v>
      </c>
      <c r="D39" s="5">
        <f>SUMIF(fin_table[Branch Code],B39,fin_table[Loan Amount])</f>
        <v>129502.87</v>
      </c>
    </row>
    <row r="40" spans="2:9" x14ac:dyDescent="0.35">
      <c r="B40" t="str">
        <v>BR552</v>
      </c>
      <c r="C40">
        <f>COUNTIF(fin_table[],B40)</f>
        <v>1</v>
      </c>
      <c r="D40" s="5">
        <f>SUMIF(fin_table[Branch Code],B40,fin_table[Loan Amount])</f>
        <v>48115.53</v>
      </c>
    </row>
    <row r="41" spans="2:9" x14ac:dyDescent="0.35">
      <c r="B41" t="str">
        <v>BR883</v>
      </c>
      <c r="C41">
        <f>COUNTIF(fin_table[],B41)</f>
        <v>1</v>
      </c>
      <c r="D41" s="5">
        <f>SUMIF(fin_table[Branch Code],B41,fin_table[Loan Amount])</f>
        <v>5473.67</v>
      </c>
    </row>
    <row r="42" spans="2:9" x14ac:dyDescent="0.35">
      <c r="B42" t="str">
        <v>BR996</v>
      </c>
      <c r="C42">
        <f>COUNTIF(fin_table[],B42)</f>
        <v>2</v>
      </c>
      <c r="D42" s="5">
        <f>SUMIF(fin_table[Branch Code],B42,fin_table[Loan Amount])</f>
        <v>63776.514999999999</v>
      </c>
    </row>
    <row r="43" spans="2:9" x14ac:dyDescent="0.35">
      <c r="B43" t="str">
        <v>BR470</v>
      </c>
      <c r="C43">
        <f>COUNTIF(fin_table[],B43)</f>
        <v>1</v>
      </c>
      <c r="D43" s="5">
        <f>SUMIF(fin_table[Branch Code],B43,fin_table[Loan Amount])</f>
        <v>26681.654999999999</v>
      </c>
    </row>
    <row r="44" spans="2:9" x14ac:dyDescent="0.35">
      <c r="B44" t="str">
        <v>BR648</v>
      </c>
      <c r="C44">
        <f>COUNTIF(fin_table[],B44)</f>
        <v>2</v>
      </c>
      <c r="D44" s="5">
        <f>SUMIF(fin_table[Branch Code],B44,fin_table[Loan Amount])</f>
        <v>60640.244999999995</v>
      </c>
    </row>
    <row r="45" spans="2:9" x14ac:dyDescent="0.35">
      <c r="B45" t="str">
        <v>BR586</v>
      </c>
      <c r="C45">
        <f>COUNTIF(fin_table[],B45)</f>
        <v>2</v>
      </c>
      <c r="D45" s="5">
        <f>SUMIF(fin_table[Branch Code],B45,fin_table[Loan Amount])</f>
        <v>53363.31</v>
      </c>
    </row>
    <row r="46" spans="2:9" x14ac:dyDescent="0.35">
      <c r="B46" t="str">
        <v>BR310</v>
      </c>
      <c r="C46">
        <f>COUNTIF(fin_table[],B46)</f>
        <v>3</v>
      </c>
      <c r="D46" s="5">
        <f>SUMIF(fin_table[Branch Code],B46,fin_table[Loan Amount])</f>
        <v>94425.06</v>
      </c>
    </row>
    <row r="47" spans="2:9" x14ac:dyDescent="0.35">
      <c r="B47" t="str">
        <v>BR264</v>
      </c>
      <c r="C47">
        <f>COUNTIF(fin_table[],B47)</f>
        <v>2</v>
      </c>
      <c r="D47" s="5">
        <f>SUMIF(fin_table[Branch Code],B47,fin_table[Loan Amount])</f>
        <v>38228.775000000001</v>
      </c>
    </row>
    <row r="48" spans="2:9" x14ac:dyDescent="0.35">
      <c r="B48" t="str">
        <v>BR224</v>
      </c>
      <c r="C48">
        <f>COUNTIF(fin_table[],B48)</f>
        <v>1</v>
      </c>
      <c r="D48" s="5">
        <f>SUMIF(fin_table[Branch Code],B48,fin_table[Loan Amount])</f>
        <v>26681.654999999999</v>
      </c>
    </row>
    <row r="49" spans="2:4" x14ac:dyDescent="0.35">
      <c r="B49" t="str">
        <v>BR436</v>
      </c>
      <c r="C49">
        <f>COUNTIF(fin_table[],B49)</f>
        <v>2</v>
      </c>
      <c r="D49" s="5">
        <f>SUMIF(fin_table[Branch Code],B49,fin_table[Loan Amount])</f>
        <v>32278.735000000001</v>
      </c>
    </row>
    <row r="50" spans="2:4" x14ac:dyDescent="0.35">
      <c r="B50" t="str">
        <v>BR291</v>
      </c>
      <c r="C50">
        <f>COUNTIF(fin_table[],B50)</f>
        <v>3</v>
      </c>
      <c r="D50" s="5">
        <f>SUMIF(fin_table[Branch Code],B50,fin_table[Loan Amount])</f>
        <v>87419.324999999997</v>
      </c>
    </row>
    <row r="51" spans="2:4" x14ac:dyDescent="0.35">
      <c r="B51" t="str">
        <v>BR829</v>
      </c>
      <c r="C51">
        <f>COUNTIF(fin_table[],B51)</f>
        <v>2</v>
      </c>
      <c r="D51" s="5">
        <f>SUMIF(fin_table[Branch Code],B51,fin_table[Loan Amount])</f>
        <v>51247.724999999999</v>
      </c>
    </row>
    <row r="52" spans="2:4" x14ac:dyDescent="0.35">
      <c r="B52" t="str">
        <v>BR313</v>
      </c>
      <c r="C52">
        <f>COUNTIF(fin_table[],B52)</f>
        <v>1</v>
      </c>
      <c r="D52" s="5">
        <f>SUMIF(fin_table[Branch Code],B52,fin_table[Loan Amount])</f>
        <v>26681.654999999999</v>
      </c>
    </row>
    <row r="53" spans="2:4" x14ac:dyDescent="0.35">
      <c r="B53" t="str">
        <v>BR673</v>
      </c>
      <c r="C53">
        <f>COUNTIF(fin_table[],B53)</f>
        <v>3</v>
      </c>
      <c r="D53" s="5">
        <f>SUMIF(fin_table[Branch Code],B53,fin_table[Loan Amount])</f>
        <v>77300.85500000001</v>
      </c>
    </row>
    <row r="54" spans="2:4" x14ac:dyDescent="0.35">
      <c r="B54" t="str">
        <v>BR427</v>
      </c>
      <c r="C54">
        <f>COUNTIF(fin_table[],B54)</f>
        <v>2</v>
      </c>
      <c r="D54" s="5">
        <f>SUMIF(fin_table[Branch Code],B54,fin_table[Loan Amount])</f>
        <v>65527.184999999998</v>
      </c>
    </row>
    <row r="55" spans="2:4" x14ac:dyDescent="0.35">
      <c r="B55" t="str">
        <v>BR480</v>
      </c>
      <c r="C55">
        <f>COUNTIF(fin_table[],B55)</f>
        <v>3</v>
      </c>
      <c r="D55" s="5">
        <f>SUMIF(fin_table[Branch Code],B55,fin_table[Loan Amount])</f>
        <v>44924.775000000001</v>
      </c>
    </row>
    <row r="56" spans="2:4" x14ac:dyDescent="0.35">
      <c r="B56" t="str">
        <v>BR772</v>
      </c>
      <c r="C56">
        <f>COUNTIF(fin_table[],B56)</f>
        <v>2</v>
      </c>
      <c r="D56" s="5">
        <f>SUMIF(fin_table[Branch Code],B56,fin_table[Loan Amount])</f>
        <v>53571.754999999997</v>
      </c>
    </row>
    <row r="57" spans="2:4" x14ac:dyDescent="0.35">
      <c r="B57" t="str">
        <v>BR677</v>
      </c>
      <c r="C57">
        <f>COUNTIF(fin_table[],B57)</f>
        <v>2</v>
      </c>
      <c r="D57" s="5">
        <f>SUMIF(fin_table[Branch Code],B57,fin_table[Loan Amount])</f>
        <v>62066.83</v>
      </c>
    </row>
    <row r="58" spans="2:4" x14ac:dyDescent="0.35">
      <c r="B58" t="str">
        <v>BR897</v>
      </c>
      <c r="C58">
        <f>COUNTIF(fin_table[],B58)</f>
        <v>3</v>
      </c>
      <c r="D58" s="5">
        <f>SUMIF(fin_table[Branch Code],B58,fin_table[Loan Amount])</f>
        <v>95595.6</v>
      </c>
    </row>
    <row r="59" spans="2:4" x14ac:dyDescent="0.35">
      <c r="B59" t="str">
        <v>BR631</v>
      </c>
      <c r="C59">
        <f>COUNTIF(fin_table[],B59)</f>
        <v>2</v>
      </c>
      <c r="D59" s="5">
        <f>SUMIF(fin_table[Branch Code],B59,fin_table[Loan Amount])</f>
        <v>40712.089999999997</v>
      </c>
    </row>
    <row r="60" spans="2:4" x14ac:dyDescent="0.35">
      <c r="B60" t="str">
        <v>BR799</v>
      </c>
      <c r="C60">
        <f>COUNTIF(fin_table[],B60)</f>
        <v>3</v>
      </c>
      <c r="D60" s="5">
        <f>SUMIF(fin_table[Branch Code],B60,fin_table[Loan Amount])</f>
        <v>72197.76999999999</v>
      </c>
    </row>
    <row r="61" spans="2:4" x14ac:dyDescent="0.35">
      <c r="B61" t="str">
        <v>BR181</v>
      </c>
      <c r="C61">
        <f>COUNTIF(fin_table[],B61)</f>
        <v>2</v>
      </c>
      <c r="D61" s="5">
        <f>SUMIF(fin_table[Branch Code],B61,fin_table[Loan Amount])</f>
        <v>58296.014999999999</v>
      </c>
    </row>
    <row r="62" spans="2:4" x14ac:dyDescent="0.35">
      <c r="B62" t="str">
        <v>BR462</v>
      </c>
      <c r="C62">
        <f>COUNTIF(fin_table[],B62)</f>
        <v>1</v>
      </c>
      <c r="D62" s="5">
        <f>SUMIF(fin_table[Branch Code],B62,fin_table[Loan Amount])</f>
        <v>26681.654999999999</v>
      </c>
    </row>
    <row r="63" spans="2:4" x14ac:dyDescent="0.35">
      <c r="B63" t="str">
        <v>BR604</v>
      </c>
      <c r="C63">
        <f>COUNTIF(fin_table[],B63)</f>
        <v>1</v>
      </c>
      <c r="D63" s="5">
        <f>SUMIF(fin_table[Branch Code],B63,fin_table[Loan Amount])</f>
        <v>26681.654999999999</v>
      </c>
    </row>
    <row r="64" spans="2:4" x14ac:dyDescent="0.35">
      <c r="B64" t="str">
        <v>BR301</v>
      </c>
      <c r="C64">
        <f>COUNTIF(fin_table[],B64)</f>
        <v>1</v>
      </c>
      <c r="D64" s="5">
        <f>SUMIF(fin_table[Branch Code],B64,fin_table[Loan Amount])</f>
        <v>26681.654999999999</v>
      </c>
    </row>
    <row r="65" spans="2:4" x14ac:dyDescent="0.35">
      <c r="B65" t="str">
        <v>BR603</v>
      </c>
      <c r="C65">
        <f>COUNTIF(fin_table[],B65)</f>
        <v>2</v>
      </c>
      <c r="D65" s="5">
        <f>SUMIF(fin_table[Branch Code],B65,fin_table[Loan Amount])</f>
        <v>45008.869999999995</v>
      </c>
    </row>
    <row r="66" spans="2:4" x14ac:dyDescent="0.35">
      <c r="B66" t="str">
        <v>BR743</v>
      </c>
      <c r="C66">
        <f>COUNTIF(fin_table[],B66)</f>
        <v>2</v>
      </c>
      <c r="D66" s="5">
        <f>SUMIF(fin_table[Branch Code],B66,fin_table[Loan Amount])</f>
        <v>53363.31</v>
      </c>
    </row>
    <row r="67" spans="2:4" x14ac:dyDescent="0.35">
      <c r="B67" t="str">
        <v>BR136</v>
      </c>
      <c r="C67">
        <f>COUNTIF(fin_table[],B67)</f>
        <v>1</v>
      </c>
      <c r="D67" s="5">
        <f>SUMIF(fin_table[Branch Code],B67,fin_table[Loan Amount])</f>
        <v>44968.55</v>
      </c>
    </row>
    <row r="68" spans="2:4" x14ac:dyDescent="0.35">
      <c r="B68" t="str">
        <v>BR688</v>
      </c>
      <c r="C68">
        <f>COUNTIF(fin_table[],B68)</f>
        <v>2</v>
      </c>
      <c r="D68" s="5">
        <f>SUMIF(fin_table[Branch Code],B68,fin_table[Loan Amount])</f>
        <v>48894.869999999995</v>
      </c>
    </row>
    <row r="69" spans="2:4" x14ac:dyDescent="0.35">
      <c r="B69" t="str">
        <v>BR700</v>
      </c>
      <c r="C69">
        <f>COUNTIF(fin_table[],B69)</f>
        <v>2</v>
      </c>
      <c r="D69" s="5">
        <f>SUMIF(fin_table[Branch Code],B69,fin_table[Loan Amount])</f>
        <v>69078.285000000003</v>
      </c>
    </row>
    <row r="70" spans="2:4" x14ac:dyDescent="0.35">
      <c r="B70" t="str">
        <v>BR501</v>
      </c>
      <c r="C70">
        <f>COUNTIF(fin_table[],B70)</f>
        <v>3</v>
      </c>
      <c r="D70" s="5">
        <f>SUMIF(fin_table[Branch Code],B70,fin_table[Loan Amount])</f>
        <v>59003.275000000001</v>
      </c>
    </row>
    <row r="71" spans="2:4" x14ac:dyDescent="0.35">
      <c r="B71" t="str">
        <v>BR864</v>
      </c>
      <c r="C71">
        <f>COUNTIF(fin_table[],B71)</f>
        <v>1</v>
      </c>
      <c r="D71" s="5">
        <f>SUMIF(fin_table[Branch Code],B71,fin_table[Loan Amount])</f>
        <v>26486.959999999999</v>
      </c>
    </row>
    <row r="72" spans="2:4" x14ac:dyDescent="0.35">
      <c r="B72" t="str">
        <v>BR955</v>
      </c>
      <c r="C72">
        <f>COUNTIF(fin_table[],B72)</f>
        <v>2</v>
      </c>
      <c r="D72" s="5">
        <f>SUMIF(fin_table[Branch Code],B72,fin_table[Loan Amount])</f>
        <v>53363.31</v>
      </c>
    </row>
    <row r="73" spans="2:4" x14ac:dyDescent="0.35">
      <c r="B73" t="str">
        <v>BR805</v>
      </c>
      <c r="C73">
        <f>COUNTIF(fin_table[],B73)</f>
        <v>3</v>
      </c>
      <c r="D73" s="5">
        <f>SUMIF(fin_table[Branch Code],B73,fin_table[Loan Amount])</f>
        <v>75686.91</v>
      </c>
    </row>
    <row r="74" spans="2:4" x14ac:dyDescent="0.35">
      <c r="B74" t="str">
        <v>BR275</v>
      </c>
      <c r="C74">
        <f>COUNTIF(fin_table[],B74)</f>
        <v>2</v>
      </c>
      <c r="D74" s="5">
        <f>SUMIF(fin_table[Branch Code],B74,fin_table[Loan Amount])</f>
        <v>55926.425000000003</v>
      </c>
    </row>
    <row r="75" spans="2:4" x14ac:dyDescent="0.35">
      <c r="B75" t="str">
        <v>BR644</v>
      </c>
      <c r="C75">
        <f>COUNTIF(fin_table[],B75)</f>
        <v>3</v>
      </c>
      <c r="D75" s="5">
        <f>SUMIF(fin_table[Branch Code],B75,fin_table[Loan Amount])</f>
        <v>62779.614999999998</v>
      </c>
    </row>
    <row r="76" spans="2:4" x14ac:dyDescent="0.35">
      <c r="B76" t="str">
        <v>BR669</v>
      </c>
      <c r="C76">
        <f>COUNTIF(fin_table[],B76)</f>
        <v>2</v>
      </c>
      <c r="D76" s="5">
        <f>SUMIF(fin_table[Branch Code],B76,fin_table[Loan Amount])</f>
        <v>48162.504999999997</v>
      </c>
    </row>
    <row r="77" spans="2:4" x14ac:dyDescent="0.35">
      <c r="B77" t="str">
        <v>BR566</v>
      </c>
      <c r="C77">
        <f>COUNTIF(fin_table[],B77)</f>
        <v>1</v>
      </c>
      <c r="D77" s="5">
        <f>SUMIF(fin_table[Branch Code],B77,fin_table[Loan Amount])</f>
        <v>26681.654999999999</v>
      </c>
    </row>
    <row r="78" spans="2:4" x14ac:dyDescent="0.35">
      <c r="B78" t="str">
        <v>BR300</v>
      </c>
      <c r="C78">
        <f>COUNTIF(fin_table[],B78)</f>
        <v>2</v>
      </c>
      <c r="D78" s="5">
        <f>SUMIF(fin_table[Branch Code],B78,fin_table[Loan Amount])</f>
        <v>37582.104999999996</v>
      </c>
    </row>
    <row r="79" spans="2:4" x14ac:dyDescent="0.35">
      <c r="B79" t="str">
        <v>BR639</v>
      </c>
      <c r="C79">
        <f>COUNTIF(fin_table[],B79)</f>
        <v>3</v>
      </c>
      <c r="D79" s="5">
        <f>SUMIF(fin_table[Branch Code],B79,fin_table[Loan Amount])</f>
        <v>86685.919999999984</v>
      </c>
    </row>
    <row r="80" spans="2:4" x14ac:dyDescent="0.35">
      <c r="B80" t="str">
        <v>BR646</v>
      </c>
      <c r="C80">
        <f>COUNTIF(fin_table[],B80)</f>
        <v>1</v>
      </c>
      <c r="D80" s="5">
        <f>SUMIF(fin_table[Branch Code],B80,fin_table[Loan Amount])</f>
        <v>26681.654999999999</v>
      </c>
    </row>
    <row r="81" spans="2:4" x14ac:dyDescent="0.35">
      <c r="B81" t="str">
        <v>BR736</v>
      </c>
      <c r="C81">
        <f>COUNTIF(fin_table[],B81)</f>
        <v>3</v>
      </c>
      <c r="D81" s="5">
        <f>SUMIF(fin_table[Branch Code],B81,fin_table[Loan Amount])</f>
        <v>80044.964999999997</v>
      </c>
    </row>
    <row r="82" spans="2:4" x14ac:dyDescent="0.35">
      <c r="B82" t="str">
        <v>BR493</v>
      </c>
      <c r="C82">
        <f>COUNTIF(fin_table[],B82)</f>
        <v>1</v>
      </c>
      <c r="D82" s="5">
        <f>SUMIF(fin_table[Branch Code],B82,fin_table[Loan Amount])</f>
        <v>26681.654999999999</v>
      </c>
    </row>
    <row r="83" spans="2:4" x14ac:dyDescent="0.35">
      <c r="B83" t="str">
        <v>BR932</v>
      </c>
      <c r="C83">
        <f>COUNTIF(fin_table[],B83)</f>
        <v>1</v>
      </c>
      <c r="D83" s="5">
        <f>SUMIF(fin_table[Branch Code],B83,fin_table[Loan Amount])</f>
        <v>28346.37</v>
      </c>
    </row>
    <row r="84" spans="2:4" x14ac:dyDescent="0.35">
      <c r="B84" t="str">
        <v>BR141</v>
      </c>
      <c r="C84">
        <f>COUNTIF(fin_table[],B84)</f>
        <v>1</v>
      </c>
      <c r="D84" s="5">
        <f>SUMIF(fin_table[Branch Code],B84,fin_table[Loan Amount])</f>
        <v>6514.26</v>
      </c>
    </row>
    <row r="85" spans="2:4" x14ac:dyDescent="0.35">
      <c r="B85" t="str">
        <v>BR696</v>
      </c>
      <c r="C85">
        <f>COUNTIF(fin_table[],B85)</f>
        <v>2</v>
      </c>
      <c r="D85" s="5">
        <f>SUMIF(fin_table[Branch Code],B85,fin_table[Loan Amount])</f>
        <v>53196.024999999994</v>
      </c>
    </row>
    <row r="86" spans="2:4" x14ac:dyDescent="0.35">
      <c r="B86" t="str">
        <v>BR492</v>
      </c>
      <c r="C86">
        <f>COUNTIF(fin_table[],B86)</f>
        <v>3</v>
      </c>
      <c r="D86" s="5">
        <f>SUMIF(fin_table[Branch Code],B86,fin_table[Loan Amount])</f>
        <v>59679.054999999993</v>
      </c>
    </row>
    <row r="87" spans="2:4" x14ac:dyDescent="0.35">
      <c r="B87" t="str">
        <v>BR722</v>
      </c>
      <c r="C87">
        <f>COUNTIF(fin_table[],B87)</f>
        <v>5</v>
      </c>
      <c r="D87" s="5">
        <f>SUMIF(fin_table[Branch Code],B87,fin_table[Loan Amount])</f>
        <v>130485.91499999998</v>
      </c>
    </row>
    <row r="88" spans="2:4" x14ac:dyDescent="0.35">
      <c r="B88" t="str">
        <v>BR882</v>
      </c>
      <c r="C88">
        <f>COUNTIF(fin_table[],B88)</f>
        <v>6</v>
      </c>
      <c r="D88" s="5">
        <f>SUMIF(fin_table[Branch Code],B88,fin_table[Loan Amount])</f>
        <v>173465.56</v>
      </c>
    </row>
    <row r="89" spans="2:4" x14ac:dyDescent="0.35">
      <c r="B89" t="str">
        <v>BR540</v>
      </c>
      <c r="C89">
        <f>COUNTIF(fin_table[],B89)</f>
        <v>1</v>
      </c>
      <c r="D89" s="5">
        <f>SUMIF(fin_table[Branch Code],B89,fin_table[Loan Amount])</f>
        <v>5953.65</v>
      </c>
    </row>
    <row r="90" spans="2:4" x14ac:dyDescent="0.35">
      <c r="B90" t="str">
        <v>BR936</v>
      </c>
      <c r="C90">
        <f>COUNTIF(fin_table[],B90)</f>
        <v>2</v>
      </c>
      <c r="D90" s="5">
        <f>SUMIF(fin_table[Branch Code],B90,fin_table[Loan Amount])</f>
        <v>53363.31</v>
      </c>
    </row>
    <row r="91" spans="2:4" x14ac:dyDescent="0.35">
      <c r="B91" t="str">
        <v>BR716</v>
      </c>
      <c r="C91">
        <f>COUNTIF(fin_table[],B91)</f>
        <v>4</v>
      </c>
      <c r="D91" s="5">
        <f>SUMIF(fin_table[Branch Code],B91,fin_table[Loan Amount])</f>
        <v>96375.294999999998</v>
      </c>
    </row>
    <row r="92" spans="2:4" x14ac:dyDescent="0.35">
      <c r="B92" t="str">
        <v>BR605</v>
      </c>
      <c r="C92">
        <f>COUNTIF(fin_table[],B92)</f>
        <v>1</v>
      </c>
      <c r="D92" s="5">
        <f>SUMIF(fin_table[Branch Code],B92,fin_table[Loan Amount])</f>
        <v>26681.654999999999</v>
      </c>
    </row>
    <row r="93" spans="2:4" x14ac:dyDescent="0.35">
      <c r="B93" t="str">
        <v>BR419</v>
      </c>
      <c r="C93">
        <f>COUNTIF(fin_table[],B93)</f>
        <v>3</v>
      </c>
      <c r="D93" s="5">
        <f>SUMIF(fin_table[Branch Code],B93,fin_table[Loan Amount])</f>
        <v>91612.764999999999</v>
      </c>
    </row>
    <row r="94" spans="2:4" x14ac:dyDescent="0.35">
      <c r="B94" t="str">
        <v>BR652</v>
      </c>
      <c r="C94">
        <f>COUNTIF(fin_table[],B94)</f>
        <v>1</v>
      </c>
      <c r="D94" s="5">
        <f>SUMIF(fin_table[Branch Code],B94,fin_table[Loan Amount])</f>
        <v>29396.19</v>
      </c>
    </row>
    <row r="95" spans="2:4" x14ac:dyDescent="0.35">
      <c r="B95" t="str">
        <v>BR314</v>
      </c>
      <c r="C95">
        <f>COUNTIF(fin_table[],B95)</f>
        <v>3</v>
      </c>
      <c r="D95" s="5">
        <f>SUMIF(fin_table[Branch Code],B95,fin_table[Loan Amount])</f>
        <v>83646.145000000004</v>
      </c>
    </row>
    <row r="96" spans="2:4" x14ac:dyDescent="0.35">
      <c r="B96" t="str">
        <v>BR170</v>
      </c>
      <c r="C96">
        <f>COUNTIF(fin_table[],B96)</f>
        <v>1</v>
      </c>
      <c r="D96" s="5">
        <f>SUMIF(fin_table[Branch Code],B96,fin_table[Loan Amount])</f>
        <v>26681.654999999999</v>
      </c>
    </row>
    <row r="97" spans="2:4" x14ac:dyDescent="0.35">
      <c r="B97" t="str">
        <v>BR667</v>
      </c>
      <c r="C97">
        <f>COUNTIF(fin_table[],B97)</f>
        <v>4</v>
      </c>
      <c r="D97" s="5">
        <f>SUMIF(fin_table[Branch Code],B97,fin_table[Loan Amount])</f>
        <v>122920.13999999998</v>
      </c>
    </row>
    <row r="98" spans="2:4" x14ac:dyDescent="0.35">
      <c r="B98" t="str">
        <v>BR335</v>
      </c>
      <c r="C98">
        <f>COUNTIF(fin_table[],B98)</f>
        <v>2</v>
      </c>
      <c r="D98" s="5">
        <f>SUMIF(fin_table[Branch Code],B98,fin_table[Loan Amount])</f>
        <v>51764.555</v>
      </c>
    </row>
    <row r="99" spans="2:4" x14ac:dyDescent="0.35">
      <c r="B99" t="str">
        <v>BR380</v>
      </c>
      <c r="C99">
        <f>COUNTIF(fin_table[],B99)</f>
        <v>3</v>
      </c>
      <c r="D99" s="5">
        <f>SUMIF(fin_table[Branch Code],B99,fin_table[Loan Amount])</f>
        <v>57414.474999999999</v>
      </c>
    </row>
    <row r="100" spans="2:4" x14ac:dyDescent="0.35">
      <c r="B100" t="str">
        <v>BR986</v>
      </c>
      <c r="C100">
        <f>COUNTIF(fin_table[],B100)</f>
        <v>3</v>
      </c>
      <c r="D100" s="5">
        <f>SUMIF(fin_table[Branch Code],B100,fin_table[Loan Amount])</f>
        <v>50452.645000000004</v>
      </c>
    </row>
    <row r="101" spans="2:4" x14ac:dyDescent="0.35">
      <c r="B101" t="str">
        <v>BR261</v>
      </c>
      <c r="C101">
        <f>COUNTIF(fin_table[],B101)</f>
        <v>1</v>
      </c>
      <c r="D101" s="5">
        <f>SUMIF(fin_table[Branch Code],B101,fin_table[Loan Amount])</f>
        <v>26681.654999999999</v>
      </c>
    </row>
    <row r="102" spans="2:4" x14ac:dyDescent="0.35">
      <c r="B102" t="str">
        <v>BR290</v>
      </c>
      <c r="C102">
        <f>COUNTIF(fin_table[],B102)</f>
        <v>2</v>
      </c>
      <c r="D102" s="5">
        <f>SUMIF(fin_table[Branch Code],B102,fin_table[Loan Amount])</f>
        <v>65252.56</v>
      </c>
    </row>
    <row r="103" spans="2:4" x14ac:dyDescent="0.35">
      <c r="B103" t="str">
        <v>BR108</v>
      </c>
      <c r="C103">
        <f>COUNTIF(fin_table[],B103)</f>
        <v>2</v>
      </c>
      <c r="D103" s="5">
        <f>SUMIF(fin_table[Branch Code],B103,fin_table[Loan Amount])</f>
        <v>53363.31</v>
      </c>
    </row>
    <row r="104" spans="2:4" x14ac:dyDescent="0.35">
      <c r="B104" t="str">
        <v>BR159</v>
      </c>
      <c r="C104">
        <f>COUNTIF(fin_table[],B104)</f>
        <v>2</v>
      </c>
      <c r="D104" s="5">
        <f>SUMIF(fin_table[Branch Code],B104,fin_table[Loan Amount])</f>
        <v>53363.31</v>
      </c>
    </row>
    <row r="105" spans="2:4" x14ac:dyDescent="0.35">
      <c r="B105" t="str">
        <v>BR992</v>
      </c>
      <c r="C105">
        <f>COUNTIF(fin_table[],B105)</f>
        <v>2</v>
      </c>
      <c r="D105" s="5">
        <f>SUMIF(fin_table[Branch Code],B105,fin_table[Loan Amount])</f>
        <v>32285.684999999998</v>
      </c>
    </row>
    <row r="106" spans="2:4" x14ac:dyDescent="0.35">
      <c r="B106" t="str">
        <v>BR916</v>
      </c>
      <c r="C106">
        <f>COUNTIF(fin_table[],B106)</f>
        <v>1</v>
      </c>
      <c r="D106" s="5">
        <f>SUMIF(fin_table[Branch Code],B106,fin_table[Loan Amount])</f>
        <v>26681.654999999999</v>
      </c>
    </row>
    <row r="107" spans="2:4" x14ac:dyDescent="0.35">
      <c r="B107" t="str">
        <v>BR324</v>
      </c>
      <c r="C107">
        <f>COUNTIF(fin_table[],B107)</f>
        <v>2</v>
      </c>
      <c r="D107" s="5">
        <f>SUMIF(fin_table[Branch Code],B107,fin_table[Loan Amount])</f>
        <v>64604.014999999999</v>
      </c>
    </row>
    <row r="108" spans="2:4" x14ac:dyDescent="0.35">
      <c r="B108" t="str">
        <v>BR918</v>
      </c>
      <c r="C108">
        <f>COUNTIF(fin_table[],B108)</f>
        <v>4</v>
      </c>
      <c r="D108" s="5">
        <f>SUMIF(fin_table[Branch Code],B108,fin_table[Loan Amount])</f>
        <v>83091.87000000001</v>
      </c>
    </row>
    <row r="109" spans="2:4" x14ac:dyDescent="0.35">
      <c r="B109" t="str">
        <v>BR681</v>
      </c>
      <c r="C109">
        <f>COUNTIF(fin_table[],B109)</f>
        <v>2</v>
      </c>
      <c r="D109" s="5">
        <f>SUMIF(fin_table[Branch Code],B109,fin_table[Loan Amount])</f>
        <v>61897.264999999999</v>
      </c>
    </row>
    <row r="110" spans="2:4" x14ac:dyDescent="0.35">
      <c r="B110" t="str">
        <v>BR904</v>
      </c>
      <c r="C110">
        <f>COUNTIF(fin_table[],B110)</f>
        <v>1</v>
      </c>
      <c r="D110" s="5">
        <f>SUMIF(fin_table[Branch Code],B110,fin_table[Loan Amount])</f>
        <v>26681.654999999999</v>
      </c>
    </row>
    <row r="111" spans="2:4" x14ac:dyDescent="0.35">
      <c r="B111" t="str">
        <v>BR386</v>
      </c>
      <c r="C111">
        <f>COUNTIF(fin_table[],B111)</f>
        <v>2</v>
      </c>
      <c r="D111" s="5">
        <f>SUMIF(fin_table[Branch Code],B111,fin_table[Loan Amount])</f>
        <v>53363.31</v>
      </c>
    </row>
    <row r="112" spans="2:4" x14ac:dyDescent="0.35">
      <c r="B112" t="str">
        <v>BR268</v>
      </c>
      <c r="C112">
        <f>COUNTIF(fin_table[],B112)</f>
        <v>2</v>
      </c>
      <c r="D112" s="5">
        <f>SUMIF(fin_table[Branch Code],B112,fin_table[Loan Amount])</f>
        <v>56973.440000000002</v>
      </c>
    </row>
    <row r="113" spans="2:4" x14ac:dyDescent="0.35">
      <c r="B113" t="str">
        <v>BR161</v>
      </c>
      <c r="C113">
        <f>COUNTIF(fin_table[],B113)</f>
        <v>1</v>
      </c>
      <c r="D113" s="5">
        <f>SUMIF(fin_table[Branch Code],B113,fin_table[Loan Amount])</f>
        <v>26681.654999999999</v>
      </c>
    </row>
    <row r="114" spans="2:4" x14ac:dyDescent="0.35">
      <c r="B114" t="str">
        <v>BR448</v>
      </c>
      <c r="C114">
        <f>COUNTIF(fin_table[],B114)</f>
        <v>3</v>
      </c>
      <c r="D114" s="5">
        <f>SUMIF(fin_table[Branch Code],B114,fin_table[Loan Amount])</f>
        <v>101075.98</v>
      </c>
    </row>
    <row r="115" spans="2:4" x14ac:dyDescent="0.35">
      <c r="B115" t="str">
        <v>BR541</v>
      </c>
      <c r="C115">
        <f>COUNTIF(fin_table[],B115)</f>
        <v>4</v>
      </c>
      <c r="D115" s="5">
        <f>SUMIF(fin_table[Branch Code],B115,fin_table[Loan Amount])</f>
        <v>84778.024999999994</v>
      </c>
    </row>
    <row r="116" spans="2:4" x14ac:dyDescent="0.35">
      <c r="B116" t="str">
        <v>BR113</v>
      </c>
      <c r="C116">
        <f>COUNTIF(fin_table[],B116)</f>
        <v>3</v>
      </c>
      <c r="D116" s="5">
        <f>SUMIF(fin_table[Branch Code],B116,fin_table[Loan Amount])</f>
        <v>90608.22</v>
      </c>
    </row>
    <row r="117" spans="2:4" x14ac:dyDescent="0.35">
      <c r="B117" t="str">
        <v>BR263</v>
      </c>
      <c r="C117">
        <f>COUNTIF(fin_table[],B117)</f>
        <v>1</v>
      </c>
      <c r="D117" s="5">
        <f>SUMIF(fin_table[Branch Code],B117,fin_table[Loan Amount])</f>
        <v>26681.654999999999</v>
      </c>
    </row>
    <row r="118" spans="2:4" x14ac:dyDescent="0.35">
      <c r="B118" t="str">
        <v>BR519</v>
      </c>
      <c r="C118">
        <f>COUNTIF(fin_table[],B118)</f>
        <v>2</v>
      </c>
      <c r="D118" s="5">
        <f>SUMIF(fin_table[Branch Code],B118,fin_table[Loan Amount])</f>
        <v>41212.625</v>
      </c>
    </row>
    <row r="119" spans="2:4" x14ac:dyDescent="0.35">
      <c r="B119" t="str">
        <v>BR856</v>
      </c>
      <c r="C119">
        <f>COUNTIF(fin_table[],B119)</f>
        <v>2</v>
      </c>
      <c r="D119" s="5">
        <f>SUMIF(fin_table[Branch Code],B119,fin_table[Loan Amount])</f>
        <v>61689.59</v>
      </c>
    </row>
    <row r="120" spans="2:4" x14ac:dyDescent="0.35">
      <c r="B120" t="str">
        <v>BR946</v>
      </c>
      <c r="C120">
        <f>COUNTIF(fin_table[],B120)</f>
        <v>1</v>
      </c>
      <c r="D120" s="5">
        <f>SUMIF(fin_table[Branch Code],B120,fin_table[Loan Amount])</f>
        <v>24233.200000000001</v>
      </c>
    </row>
    <row r="121" spans="2:4" x14ac:dyDescent="0.35">
      <c r="B121" t="str">
        <v>BR619</v>
      </c>
      <c r="C121">
        <f>COUNTIF(fin_table[],B121)</f>
        <v>5</v>
      </c>
      <c r="D121" s="5">
        <f>SUMIF(fin_table[Branch Code],B121,fin_table[Loan Amount])</f>
        <v>158297.81999999998</v>
      </c>
    </row>
    <row r="122" spans="2:4" x14ac:dyDescent="0.35">
      <c r="B122" t="str">
        <v>BR765</v>
      </c>
      <c r="C122">
        <f>COUNTIF(fin_table[],B122)</f>
        <v>2</v>
      </c>
      <c r="D122" s="5">
        <f>SUMIF(fin_table[Branch Code],B122,fin_table[Loan Amount])</f>
        <v>64212.205000000002</v>
      </c>
    </row>
    <row r="123" spans="2:4" x14ac:dyDescent="0.35">
      <c r="B123" t="str">
        <v>BR647</v>
      </c>
      <c r="C123">
        <f>COUNTIF(fin_table[],B123)</f>
        <v>1</v>
      </c>
      <c r="D123" s="5">
        <f>SUMIF(fin_table[Branch Code],B123,fin_table[Loan Amount])</f>
        <v>34005.339999999997</v>
      </c>
    </row>
    <row r="124" spans="2:4" x14ac:dyDescent="0.35">
      <c r="B124" t="str">
        <v>BR659</v>
      </c>
      <c r="C124">
        <f>COUNTIF(fin_table[],B124)</f>
        <v>4</v>
      </c>
      <c r="D124" s="5">
        <f>SUMIF(fin_table[Branch Code],B124,fin_table[Loan Amount])</f>
        <v>100104.535</v>
      </c>
    </row>
    <row r="125" spans="2:4" x14ac:dyDescent="0.35">
      <c r="B125" t="str">
        <v>BR127</v>
      </c>
      <c r="C125">
        <f>COUNTIF(fin_table[],B125)</f>
        <v>2</v>
      </c>
      <c r="D125" s="5">
        <f>SUMIF(fin_table[Branch Code],B125,fin_table[Loan Amount])</f>
        <v>54414.2</v>
      </c>
    </row>
    <row r="126" spans="2:4" x14ac:dyDescent="0.35">
      <c r="B126" t="str">
        <v>BR807</v>
      </c>
      <c r="C126">
        <f>COUNTIF(fin_table[],B126)</f>
        <v>4</v>
      </c>
      <c r="D126" s="5">
        <f>SUMIF(fin_table[Branch Code],B126,fin_table[Loan Amount])</f>
        <v>95266.704999999987</v>
      </c>
    </row>
    <row r="127" spans="2:4" x14ac:dyDescent="0.35">
      <c r="B127" t="str">
        <v>BR545</v>
      </c>
      <c r="C127">
        <f>COUNTIF(fin_table[],B127)</f>
        <v>2</v>
      </c>
      <c r="D127" s="5">
        <f>SUMIF(fin_table[Branch Code],B127,fin_table[Loan Amount])</f>
        <v>53363.31</v>
      </c>
    </row>
    <row r="128" spans="2:4" x14ac:dyDescent="0.35">
      <c r="B128" t="str">
        <v>BR307</v>
      </c>
      <c r="C128">
        <f>COUNTIF(fin_table[],B128)</f>
        <v>2</v>
      </c>
      <c r="D128" s="5">
        <f>SUMIF(fin_table[Branch Code],B128,fin_table[Loan Amount])</f>
        <v>32386.915000000001</v>
      </c>
    </row>
    <row r="129" spans="2:4" x14ac:dyDescent="0.35">
      <c r="B129" t="str">
        <v>BR569</v>
      </c>
      <c r="C129">
        <f>COUNTIF(fin_table[],B129)</f>
        <v>1</v>
      </c>
      <c r="D129" s="5">
        <f>SUMIF(fin_table[Branch Code],B129,fin_table[Loan Amount])</f>
        <v>26681.654999999999</v>
      </c>
    </row>
    <row r="130" spans="2:4" x14ac:dyDescent="0.35">
      <c r="B130" t="str">
        <v>BR203</v>
      </c>
      <c r="C130">
        <f>COUNTIF(fin_table[],B130)</f>
        <v>4</v>
      </c>
      <c r="D130" s="5">
        <f>SUMIF(fin_table[Branch Code],B130,fin_table[Loan Amount])</f>
        <v>139295.38500000001</v>
      </c>
    </row>
    <row r="131" spans="2:4" x14ac:dyDescent="0.35">
      <c r="B131" t="str">
        <v>BR841</v>
      </c>
      <c r="C131">
        <f>COUNTIF(fin_table[],B131)</f>
        <v>1</v>
      </c>
      <c r="D131" s="5">
        <f>SUMIF(fin_table[Branch Code],B131,fin_table[Loan Amount])</f>
        <v>26681.654999999999</v>
      </c>
    </row>
    <row r="132" spans="2:4" x14ac:dyDescent="0.35">
      <c r="B132" t="str">
        <v>BR525</v>
      </c>
      <c r="C132">
        <f>COUNTIF(fin_table[],B132)</f>
        <v>2</v>
      </c>
      <c r="D132" s="5">
        <f>SUMIF(fin_table[Branch Code],B132,fin_table[Loan Amount])</f>
        <v>53363.31</v>
      </c>
    </row>
    <row r="133" spans="2:4" x14ac:dyDescent="0.35">
      <c r="B133" t="str">
        <v>BR200</v>
      </c>
      <c r="C133">
        <f>COUNTIF(fin_table[],B133)</f>
        <v>2</v>
      </c>
      <c r="D133" s="5">
        <f>SUMIF(fin_table[Branch Code],B133,fin_table[Loan Amount])</f>
        <v>59868.92</v>
      </c>
    </row>
    <row r="134" spans="2:4" x14ac:dyDescent="0.35">
      <c r="B134" t="str">
        <v>BR640</v>
      </c>
      <c r="C134">
        <f>COUNTIF(fin_table[],B134)</f>
        <v>1</v>
      </c>
      <c r="D134" s="5">
        <f>SUMIF(fin_table[Branch Code],B134,fin_table[Loan Amount])</f>
        <v>26681.654999999999</v>
      </c>
    </row>
    <row r="135" spans="2:4" x14ac:dyDescent="0.35">
      <c r="B135" t="str">
        <v>BR738</v>
      </c>
      <c r="C135">
        <f>COUNTIF(fin_table[],B135)</f>
        <v>1</v>
      </c>
      <c r="D135" s="5">
        <f>SUMIF(fin_table[Branch Code],B135,fin_table[Loan Amount])</f>
        <v>15722.95</v>
      </c>
    </row>
    <row r="136" spans="2:4" x14ac:dyDescent="0.35">
      <c r="B136" t="str">
        <v>BR949</v>
      </c>
      <c r="C136">
        <f>COUNTIF(fin_table[],B136)</f>
        <v>3</v>
      </c>
      <c r="D136" s="5">
        <f>SUMIF(fin_table[Branch Code],B136,fin_table[Loan Amount])</f>
        <v>80619.850000000006</v>
      </c>
    </row>
    <row r="137" spans="2:4" x14ac:dyDescent="0.35">
      <c r="B137" t="str">
        <v>BR621</v>
      </c>
      <c r="C137">
        <f>COUNTIF(fin_table[],B137)</f>
        <v>4</v>
      </c>
      <c r="D137" s="5">
        <f>SUMIF(fin_table[Branch Code],B137,fin_table[Loan Amount])</f>
        <v>124103.36499999999</v>
      </c>
    </row>
    <row r="138" spans="2:4" x14ac:dyDescent="0.35">
      <c r="B138" t="str">
        <v>BR205</v>
      </c>
      <c r="C138">
        <f>COUNTIF(fin_table[],B138)</f>
        <v>3</v>
      </c>
      <c r="D138" s="5">
        <f>SUMIF(fin_table[Branch Code],B138,fin_table[Loan Amount])</f>
        <v>60889.364999999998</v>
      </c>
    </row>
    <row r="139" spans="2:4" x14ac:dyDescent="0.35">
      <c r="B139" t="str">
        <v>BR778</v>
      </c>
      <c r="C139">
        <f>COUNTIF(fin_table[],B139)</f>
        <v>1</v>
      </c>
      <c r="D139" s="5">
        <f>SUMIF(fin_table[Branch Code],B139,fin_table[Loan Amount])</f>
        <v>26284.14</v>
      </c>
    </row>
    <row r="140" spans="2:4" x14ac:dyDescent="0.35">
      <c r="B140" t="str">
        <v>BR868</v>
      </c>
      <c r="C140">
        <f>COUNTIF(fin_table[],B140)</f>
        <v>2</v>
      </c>
      <c r="D140" s="5">
        <f>SUMIF(fin_table[Branch Code],B140,fin_table[Loan Amount])</f>
        <v>53363.31</v>
      </c>
    </row>
    <row r="141" spans="2:4" x14ac:dyDescent="0.35">
      <c r="B141" t="str">
        <v>BR906</v>
      </c>
      <c r="C141">
        <f>COUNTIF(fin_table[],B141)</f>
        <v>1</v>
      </c>
      <c r="D141" s="5">
        <f>SUMIF(fin_table[Branch Code],B141,fin_table[Loan Amount])</f>
        <v>26681.654999999999</v>
      </c>
    </row>
    <row r="142" spans="2:4" x14ac:dyDescent="0.35">
      <c r="B142" t="str">
        <v>BR376</v>
      </c>
      <c r="C142">
        <f>COUNTIF(fin_table[],B142)</f>
        <v>1</v>
      </c>
      <c r="D142" s="5">
        <f>SUMIF(fin_table[Branch Code],B142,fin_table[Loan Amount])</f>
        <v>23708.04</v>
      </c>
    </row>
    <row r="143" spans="2:4" x14ac:dyDescent="0.35">
      <c r="B143" t="str">
        <v>BR164</v>
      </c>
      <c r="C143">
        <f>COUNTIF(fin_table[],B143)</f>
        <v>3</v>
      </c>
      <c r="D143" s="5">
        <f>SUMIF(fin_table[Branch Code],B143,fin_table[Loan Amount])</f>
        <v>98266.200000000012</v>
      </c>
    </row>
    <row r="144" spans="2:4" x14ac:dyDescent="0.35">
      <c r="B144" t="str">
        <v>BR287</v>
      </c>
      <c r="C144">
        <f>COUNTIF(fin_table[],B144)</f>
        <v>1</v>
      </c>
      <c r="D144" s="5">
        <f>SUMIF(fin_table[Branch Code],B144,fin_table[Loan Amount])</f>
        <v>26681.654999999999</v>
      </c>
    </row>
    <row r="145" spans="2:4" x14ac:dyDescent="0.35">
      <c r="B145" t="str">
        <v>BR416</v>
      </c>
      <c r="C145">
        <f>COUNTIF(fin_table[],B145)</f>
        <v>5</v>
      </c>
      <c r="D145" s="5">
        <f>SUMIF(fin_table[Branch Code],B145,fin_table[Loan Amount])</f>
        <v>113451.20999999999</v>
      </c>
    </row>
    <row r="146" spans="2:4" x14ac:dyDescent="0.35">
      <c r="B146" t="str">
        <v>BR237</v>
      </c>
      <c r="C146">
        <f>COUNTIF(fin_table[],B146)</f>
        <v>2</v>
      </c>
      <c r="D146" s="5">
        <f>SUMIF(fin_table[Branch Code],B146,fin_table[Loan Amount])</f>
        <v>52010.035000000003</v>
      </c>
    </row>
    <row r="147" spans="2:4" x14ac:dyDescent="0.35">
      <c r="B147" t="str">
        <v>BR442</v>
      </c>
      <c r="C147">
        <f>COUNTIF(fin_table[],B147)</f>
        <v>2</v>
      </c>
      <c r="D147" s="5">
        <f>SUMIF(fin_table[Branch Code],B147,fin_table[Loan Amount])</f>
        <v>75272.774999999994</v>
      </c>
    </row>
    <row r="148" spans="2:4" x14ac:dyDescent="0.35">
      <c r="B148" t="str">
        <v>BR645</v>
      </c>
      <c r="C148">
        <f>COUNTIF(fin_table[],B148)</f>
        <v>1</v>
      </c>
      <c r="D148" s="5">
        <f>SUMIF(fin_table[Branch Code],B148,fin_table[Loan Amount])</f>
        <v>26681.654999999999</v>
      </c>
    </row>
    <row r="149" spans="2:4" x14ac:dyDescent="0.35">
      <c r="B149" t="str">
        <v>BR479</v>
      </c>
      <c r="C149">
        <f>COUNTIF(fin_table[],B149)</f>
        <v>3</v>
      </c>
      <c r="D149" s="5">
        <f>SUMIF(fin_table[Branch Code],B149,fin_table[Loan Amount])</f>
        <v>60831.994999999995</v>
      </c>
    </row>
    <row r="150" spans="2:4" x14ac:dyDescent="0.35">
      <c r="B150" t="str">
        <v>BR453</v>
      </c>
      <c r="C150">
        <f>COUNTIF(fin_table[],B150)</f>
        <v>2</v>
      </c>
      <c r="D150" s="5">
        <f>SUMIF(fin_table[Branch Code],B150,fin_table[Loan Amount])</f>
        <v>43998.604999999996</v>
      </c>
    </row>
    <row r="151" spans="2:4" x14ac:dyDescent="0.35">
      <c r="B151" t="str">
        <v>BR842</v>
      </c>
      <c r="C151">
        <f>COUNTIF(fin_table[],B151)</f>
        <v>4</v>
      </c>
      <c r="D151" s="5">
        <f>SUMIF(fin_table[Branch Code],B151,fin_table[Loan Amount])</f>
        <v>106726.62</v>
      </c>
    </row>
    <row r="152" spans="2:4" x14ac:dyDescent="0.35">
      <c r="B152" t="str">
        <v>BR365</v>
      </c>
      <c r="C152">
        <f>COUNTIF(fin_table[],B152)</f>
        <v>2</v>
      </c>
      <c r="D152" s="5">
        <f>SUMIF(fin_table[Branch Code],B152,fin_table[Loan Amount])</f>
        <v>66950.26999999999</v>
      </c>
    </row>
    <row r="153" spans="2:4" x14ac:dyDescent="0.35">
      <c r="B153" t="str">
        <v>BR793</v>
      </c>
      <c r="C153">
        <f>COUNTIF(fin_table[],B153)</f>
        <v>3</v>
      </c>
      <c r="D153" s="5">
        <f>SUMIF(fin_table[Branch Code],B153,fin_table[Loan Amount])</f>
        <v>76128.75</v>
      </c>
    </row>
    <row r="154" spans="2:4" x14ac:dyDescent="0.35">
      <c r="B154" t="str">
        <v>BR951</v>
      </c>
      <c r="C154">
        <f>COUNTIF(fin_table[],B154)</f>
        <v>3</v>
      </c>
      <c r="D154" s="5">
        <f>SUMIF(fin_table[Branch Code],B154,fin_table[Loan Amount])</f>
        <v>74242.789999999994</v>
      </c>
    </row>
    <row r="155" spans="2:4" x14ac:dyDescent="0.35">
      <c r="B155" t="str">
        <v>BR432</v>
      </c>
      <c r="C155">
        <f>COUNTIF(fin_table[],B155)</f>
        <v>1</v>
      </c>
      <c r="D155" s="5">
        <f>SUMIF(fin_table[Branch Code],B155,fin_table[Loan Amount])</f>
        <v>9465.2999999999993</v>
      </c>
    </row>
    <row r="156" spans="2:4" x14ac:dyDescent="0.35">
      <c r="B156" t="str">
        <v>BR612</v>
      </c>
      <c r="C156">
        <f>COUNTIF(fin_table[],B156)</f>
        <v>1</v>
      </c>
      <c r="D156" s="5">
        <f>SUMIF(fin_table[Branch Code],B156,fin_table[Loan Amount])</f>
        <v>42757.21</v>
      </c>
    </row>
    <row r="157" spans="2:4" x14ac:dyDescent="0.35">
      <c r="B157" t="str">
        <v>BR232</v>
      </c>
      <c r="C157">
        <f>COUNTIF(fin_table[],B157)</f>
        <v>3</v>
      </c>
      <c r="D157" s="5">
        <f>SUMIF(fin_table[Branch Code],B157,fin_table[Loan Amount])</f>
        <v>99368.9</v>
      </c>
    </row>
    <row r="158" spans="2:4" x14ac:dyDescent="0.35">
      <c r="B158" t="str">
        <v>BR691</v>
      </c>
      <c r="C158">
        <f>COUNTIF(fin_table[],B158)</f>
        <v>1</v>
      </c>
      <c r="D158" s="5">
        <f>SUMIF(fin_table[Branch Code],B158,fin_table[Loan Amount])</f>
        <v>19510.04</v>
      </c>
    </row>
    <row r="159" spans="2:4" x14ac:dyDescent="0.35">
      <c r="B159" t="str">
        <v>BR852</v>
      </c>
      <c r="C159">
        <f>COUNTIF(fin_table[],B159)</f>
        <v>3</v>
      </c>
      <c r="D159" s="5">
        <f>SUMIF(fin_table[Branch Code],B159,fin_table[Loan Amount])</f>
        <v>94048.68</v>
      </c>
    </row>
    <row r="160" spans="2:4" x14ac:dyDescent="0.35">
      <c r="B160" t="str">
        <v>BR834</v>
      </c>
      <c r="C160">
        <f>COUNTIF(fin_table[],B160)</f>
        <v>4</v>
      </c>
      <c r="D160" s="5">
        <f>SUMIF(fin_table[Branch Code],B160,fin_table[Loan Amount])</f>
        <v>106726.62</v>
      </c>
    </row>
    <row r="161" spans="2:4" x14ac:dyDescent="0.35">
      <c r="B161" t="str">
        <v>BR634</v>
      </c>
      <c r="C161">
        <f>COUNTIF(fin_table[],B161)</f>
        <v>2</v>
      </c>
      <c r="D161" s="5">
        <f>SUMIF(fin_table[Branch Code],B161,fin_table[Loan Amount])</f>
        <v>53363.31</v>
      </c>
    </row>
    <row r="162" spans="2:4" x14ac:dyDescent="0.35">
      <c r="B162" t="str">
        <v>BR595</v>
      </c>
      <c r="C162">
        <f>COUNTIF(fin_table[],B162)</f>
        <v>2</v>
      </c>
      <c r="D162" s="5">
        <f>SUMIF(fin_table[Branch Code],B162,fin_table[Loan Amount])</f>
        <v>71935.205000000002</v>
      </c>
    </row>
    <row r="163" spans="2:4" x14ac:dyDescent="0.35">
      <c r="B163" t="str">
        <v>BR720</v>
      </c>
      <c r="C163">
        <f>COUNTIF(fin_table[],B163)</f>
        <v>2</v>
      </c>
      <c r="D163" s="5">
        <f>SUMIF(fin_table[Branch Code],B163,fin_table[Loan Amount])</f>
        <v>64560.315000000002</v>
      </c>
    </row>
    <row r="164" spans="2:4" x14ac:dyDescent="0.35">
      <c r="B164" t="str">
        <v>BR718</v>
      </c>
      <c r="C164">
        <f>COUNTIF(fin_table[],B164)</f>
        <v>1</v>
      </c>
      <c r="D164" s="5">
        <f>SUMIF(fin_table[Branch Code],B164,fin_table[Loan Amount])</f>
        <v>26681.654999999999</v>
      </c>
    </row>
    <row r="165" spans="2:4" x14ac:dyDescent="0.35">
      <c r="B165" t="str">
        <v>BR756</v>
      </c>
      <c r="C165">
        <f>COUNTIF(fin_table[],B165)</f>
        <v>1</v>
      </c>
      <c r="D165" s="5">
        <f>SUMIF(fin_table[Branch Code],B165,fin_table[Loan Amount])</f>
        <v>26681.654999999999</v>
      </c>
    </row>
    <row r="166" spans="2:4" x14ac:dyDescent="0.35">
      <c r="B166" t="str">
        <v>BR468</v>
      </c>
      <c r="C166">
        <f>COUNTIF(fin_table[],B166)</f>
        <v>1</v>
      </c>
      <c r="D166" s="5">
        <f>SUMIF(fin_table[Branch Code],B166,fin_table[Loan Amount])</f>
        <v>18691.080000000002</v>
      </c>
    </row>
    <row r="167" spans="2:4" x14ac:dyDescent="0.35">
      <c r="B167" t="str">
        <v>BR965</v>
      </c>
      <c r="C167">
        <f>COUNTIF(fin_table[],B167)</f>
        <v>3</v>
      </c>
      <c r="D167" s="5">
        <f>SUMIF(fin_table[Branch Code],B167,fin_table[Loan Amount])</f>
        <v>44342.224999999999</v>
      </c>
    </row>
    <row r="168" spans="2:4" x14ac:dyDescent="0.35">
      <c r="B168" t="str">
        <v>BR750</v>
      </c>
      <c r="C168">
        <f>COUNTIF(fin_table[],B168)</f>
        <v>2</v>
      </c>
      <c r="D168" s="5">
        <f>SUMIF(fin_table[Branch Code],B168,fin_table[Loan Amount])</f>
        <v>53363.31</v>
      </c>
    </row>
    <row r="169" spans="2:4" x14ac:dyDescent="0.35">
      <c r="B169" t="str">
        <v>BR895</v>
      </c>
      <c r="C169">
        <f>COUNTIF(fin_table[],B169)</f>
        <v>1</v>
      </c>
      <c r="D169" s="5">
        <f>SUMIF(fin_table[Branch Code],B169,fin_table[Loan Amount])</f>
        <v>46679.37</v>
      </c>
    </row>
    <row r="170" spans="2:4" x14ac:dyDescent="0.35">
      <c r="B170" t="str">
        <v>BR909</v>
      </c>
      <c r="C170">
        <f>COUNTIF(fin_table[],B170)</f>
        <v>1</v>
      </c>
      <c r="D170" s="5">
        <f>SUMIF(fin_table[Branch Code],B170,fin_table[Loan Amount])</f>
        <v>8979.69</v>
      </c>
    </row>
    <row r="171" spans="2:4" x14ac:dyDescent="0.35">
      <c r="B171" t="str">
        <v>BR198</v>
      </c>
      <c r="C171">
        <f>COUNTIF(fin_table[],B171)</f>
        <v>2</v>
      </c>
      <c r="D171" s="5">
        <f>SUMIF(fin_table[Branch Code],B171,fin_table[Loan Amount])</f>
        <v>53363.31</v>
      </c>
    </row>
    <row r="172" spans="2:4" x14ac:dyDescent="0.35">
      <c r="B172" t="str">
        <v>BR222</v>
      </c>
      <c r="C172">
        <f>COUNTIF(fin_table[],B172)</f>
        <v>2</v>
      </c>
      <c r="D172" s="5">
        <f>SUMIF(fin_table[Branch Code],B172,fin_table[Loan Amount])</f>
        <v>53459.770000000004</v>
      </c>
    </row>
    <row r="173" spans="2:4" x14ac:dyDescent="0.35">
      <c r="B173" t="str">
        <v>BR898</v>
      </c>
      <c r="C173">
        <f>COUNTIF(fin_table[],B173)</f>
        <v>3</v>
      </c>
      <c r="D173" s="5">
        <f>SUMIF(fin_table[Branch Code],B173,fin_table[Loan Amount])</f>
        <v>102275.38</v>
      </c>
    </row>
    <row r="174" spans="2:4" x14ac:dyDescent="0.35">
      <c r="B174" t="str">
        <v>BR692</v>
      </c>
      <c r="C174">
        <f>COUNTIF(fin_table[],B174)</f>
        <v>1</v>
      </c>
      <c r="D174" s="5">
        <f>SUMIF(fin_table[Branch Code],B174,fin_table[Loan Amount])</f>
        <v>32520.94</v>
      </c>
    </row>
    <row r="175" spans="2:4" x14ac:dyDescent="0.35">
      <c r="B175" t="str">
        <v>BR594</v>
      </c>
      <c r="C175">
        <f>COUNTIF(fin_table[],B175)</f>
        <v>2</v>
      </c>
      <c r="D175" s="5">
        <f>SUMIF(fin_table[Branch Code],B175,fin_table[Loan Amount])</f>
        <v>73233.964999999997</v>
      </c>
    </row>
    <row r="176" spans="2:4" x14ac:dyDescent="0.35">
      <c r="B176" t="str">
        <v>BR556</v>
      </c>
      <c r="C176">
        <f>COUNTIF(fin_table[],B176)</f>
        <v>1</v>
      </c>
      <c r="D176" s="5">
        <f>SUMIF(fin_table[Branch Code],B176,fin_table[Loan Amount])</f>
        <v>37356.5</v>
      </c>
    </row>
    <row r="177" spans="2:4" x14ac:dyDescent="0.35">
      <c r="B177" t="str">
        <v>BR816</v>
      </c>
      <c r="C177">
        <f>COUNTIF(fin_table[],B177)</f>
        <v>2</v>
      </c>
      <c r="D177" s="5">
        <f>SUMIF(fin_table[Branch Code],B177,fin_table[Loan Amount])</f>
        <v>64046.174999999996</v>
      </c>
    </row>
    <row r="178" spans="2:4" x14ac:dyDescent="0.35">
      <c r="B178" t="str">
        <v>BR414</v>
      </c>
      <c r="C178">
        <f>COUNTIF(fin_table[],B178)</f>
        <v>1</v>
      </c>
      <c r="D178" s="5">
        <f>SUMIF(fin_table[Branch Code],B178,fin_table[Loan Amount])</f>
        <v>7185.5</v>
      </c>
    </row>
    <row r="179" spans="2:4" x14ac:dyDescent="0.35">
      <c r="B179" t="str">
        <v>BR808</v>
      </c>
      <c r="C179">
        <f>COUNTIF(fin_table[],B179)</f>
        <v>1</v>
      </c>
      <c r="D179" s="5">
        <f>SUMIF(fin_table[Branch Code],B179,fin_table[Loan Amount])</f>
        <v>32167.7</v>
      </c>
    </row>
    <row r="180" spans="2:4" x14ac:dyDescent="0.35">
      <c r="B180" t="str">
        <v>BR809</v>
      </c>
      <c r="C180">
        <f>COUNTIF(fin_table[],B180)</f>
        <v>3</v>
      </c>
      <c r="D180" s="5">
        <f>SUMIF(fin_table[Branch Code],B180,fin_table[Loan Amount])</f>
        <v>82465.98</v>
      </c>
    </row>
    <row r="181" spans="2:4" x14ac:dyDescent="0.35">
      <c r="B181" t="str">
        <v>BR641</v>
      </c>
      <c r="C181">
        <f>COUNTIF(fin_table[],B181)</f>
        <v>1</v>
      </c>
      <c r="D181" s="5">
        <f>SUMIF(fin_table[Branch Code],B181,fin_table[Loan Amount])</f>
        <v>26681.654999999999</v>
      </c>
    </row>
    <row r="182" spans="2:4" x14ac:dyDescent="0.35">
      <c r="B182" t="str">
        <v>BR578</v>
      </c>
      <c r="C182">
        <f>COUNTIF(fin_table[],B182)</f>
        <v>1</v>
      </c>
      <c r="D182" s="5">
        <f>SUMIF(fin_table[Branch Code],B182,fin_table[Loan Amount])</f>
        <v>26681.654999999999</v>
      </c>
    </row>
    <row r="183" spans="2:4" x14ac:dyDescent="0.35">
      <c r="B183" t="str">
        <v>BR119</v>
      </c>
      <c r="C183">
        <f>COUNTIF(fin_table[],B183)</f>
        <v>3</v>
      </c>
      <c r="D183" s="5">
        <f>SUMIF(fin_table[Branch Code],B183,fin_table[Loan Amount])</f>
        <v>75295.484999999986</v>
      </c>
    </row>
    <row r="184" spans="2:4" x14ac:dyDescent="0.35">
      <c r="B184" t="str">
        <v>BR229</v>
      </c>
      <c r="C184">
        <f>COUNTIF(fin_table[],B184)</f>
        <v>2</v>
      </c>
      <c r="D184" s="5">
        <f>SUMIF(fin_table[Branch Code],B184,fin_table[Loan Amount])</f>
        <v>43518.03</v>
      </c>
    </row>
    <row r="185" spans="2:4" x14ac:dyDescent="0.35">
      <c r="B185" t="str">
        <v>BR392</v>
      </c>
      <c r="C185">
        <f>COUNTIF(fin_table[],B185)</f>
        <v>1</v>
      </c>
      <c r="D185" s="5">
        <f>SUMIF(fin_table[Branch Code],B185,fin_table[Loan Amount])</f>
        <v>49614.43</v>
      </c>
    </row>
    <row r="186" spans="2:4" x14ac:dyDescent="0.35">
      <c r="B186" t="str">
        <v>BR231</v>
      </c>
      <c r="C186">
        <f>COUNTIF(fin_table[],B186)</f>
        <v>2</v>
      </c>
      <c r="D186" s="5">
        <f>SUMIF(fin_table[Branch Code],B186,fin_table[Loan Amount])</f>
        <v>57234.494999999995</v>
      </c>
    </row>
    <row r="187" spans="2:4" x14ac:dyDescent="0.35">
      <c r="B187" t="str">
        <v>BR153</v>
      </c>
      <c r="C187">
        <f>COUNTIF(fin_table[],B187)</f>
        <v>2</v>
      </c>
      <c r="D187" s="5">
        <f>SUMIF(fin_table[Branch Code],B187,fin_table[Loan Amount])</f>
        <v>61731.635000000002</v>
      </c>
    </row>
    <row r="188" spans="2:4" x14ac:dyDescent="0.35">
      <c r="B188" t="str">
        <v>BR989</v>
      </c>
      <c r="C188">
        <f>COUNTIF(fin_table[],B188)</f>
        <v>1</v>
      </c>
      <c r="D188" s="5">
        <f>SUMIF(fin_table[Branch Code],B188,fin_table[Loan Amount])</f>
        <v>7670.22</v>
      </c>
    </row>
    <row r="189" spans="2:4" x14ac:dyDescent="0.35">
      <c r="B189" t="str">
        <v>BR892</v>
      </c>
      <c r="C189">
        <f>COUNTIF(fin_table[],B189)</f>
        <v>3</v>
      </c>
      <c r="D189" s="5">
        <f>SUMIF(fin_table[Branch Code],B189,fin_table[Loan Amount])</f>
        <v>66631.09</v>
      </c>
    </row>
    <row r="190" spans="2:4" x14ac:dyDescent="0.35">
      <c r="B190" t="str">
        <v>BR486</v>
      </c>
      <c r="C190">
        <f>COUNTIF(fin_table[],B190)</f>
        <v>1</v>
      </c>
      <c r="D190" s="5">
        <f>SUMIF(fin_table[Branch Code],B190,fin_table[Loan Amount])</f>
        <v>44740.37</v>
      </c>
    </row>
    <row r="191" spans="2:4" x14ac:dyDescent="0.35">
      <c r="B191" t="str">
        <v>BR364</v>
      </c>
      <c r="C191">
        <f>COUNTIF(fin_table[],B191)</f>
        <v>2</v>
      </c>
      <c r="D191" s="5">
        <f>SUMIF(fin_table[Branch Code],B191,fin_table[Loan Amount])</f>
        <v>57648.535000000003</v>
      </c>
    </row>
    <row r="192" spans="2:4" x14ac:dyDescent="0.35">
      <c r="B192" t="str">
        <v>BR559</v>
      </c>
      <c r="C192">
        <f>COUNTIF(fin_table[],B192)</f>
        <v>1</v>
      </c>
      <c r="D192" s="5">
        <f>SUMIF(fin_table[Branch Code],B192,fin_table[Loan Amount])</f>
        <v>26681.654999999999</v>
      </c>
    </row>
    <row r="193" spans="2:4" x14ac:dyDescent="0.35">
      <c r="B193" t="str">
        <v>BR557</v>
      </c>
      <c r="C193">
        <f>COUNTIF(fin_table[],B193)</f>
        <v>1</v>
      </c>
      <c r="D193" s="5">
        <f>SUMIF(fin_table[Branch Code],B193,fin_table[Loan Amount])</f>
        <v>26681.654999999999</v>
      </c>
    </row>
    <row r="194" spans="2:4" x14ac:dyDescent="0.35">
      <c r="B194" t="str">
        <v>BR142</v>
      </c>
      <c r="C194">
        <f>COUNTIF(fin_table[],B194)</f>
        <v>2</v>
      </c>
      <c r="D194" s="5">
        <f>SUMIF(fin_table[Branch Code],B194,fin_table[Loan Amount])</f>
        <v>63814.854999999996</v>
      </c>
    </row>
    <row r="195" spans="2:4" x14ac:dyDescent="0.35">
      <c r="B195" t="str">
        <v>BR685</v>
      </c>
      <c r="C195">
        <f>COUNTIF(fin_table[],B195)</f>
        <v>1</v>
      </c>
      <c r="D195" s="5">
        <f>SUMIF(fin_table[Branch Code],B195,fin_table[Loan Amount])</f>
        <v>16294.39</v>
      </c>
    </row>
    <row r="196" spans="2:4" x14ac:dyDescent="0.35">
      <c r="B196" t="str">
        <v>BR961</v>
      </c>
      <c r="C196">
        <f>COUNTIF(fin_table[],B196)</f>
        <v>2</v>
      </c>
      <c r="D196" s="5">
        <f>SUMIF(fin_table[Branch Code],B196,fin_table[Loan Amount])</f>
        <v>82856.459999999992</v>
      </c>
    </row>
    <row r="197" spans="2:4" x14ac:dyDescent="0.35">
      <c r="B197" t="str">
        <v>BR377</v>
      </c>
      <c r="C197">
        <f>COUNTIF(fin_table[],B197)</f>
        <v>2</v>
      </c>
      <c r="D197" s="5">
        <f>SUMIF(fin_table[Branch Code],B197,fin_table[Loan Amount])</f>
        <v>53363.31</v>
      </c>
    </row>
    <row r="198" spans="2:4" x14ac:dyDescent="0.35">
      <c r="B198" t="str">
        <v>BR937</v>
      </c>
      <c r="C198">
        <f>COUNTIF(fin_table[],B198)</f>
        <v>3</v>
      </c>
      <c r="D198" s="5">
        <f>SUMIF(fin_table[Branch Code],B198,fin_table[Loan Amount])</f>
        <v>71283.22</v>
      </c>
    </row>
    <row r="199" spans="2:4" x14ac:dyDescent="0.35">
      <c r="B199" t="str">
        <v>BR853</v>
      </c>
      <c r="C199">
        <f>COUNTIF(fin_table[],B199)</f>
        <v>3</v>
      </c>
      <c r="D199" s="5">
        <f>SUMIF(fin_table[Branch Code],B199,fin_table[Loan Amount])</f>
        <v>96943.06</v>
      </c>
    </row>
    <row r="200" spans="2:4" x14ac:dyDescent="0.35">
      <c r="B200" t="str">
        <v>BR449</v>
      </c>
      <c r="C200">
        <f>COUNTIF(fin_table[],B200)</f>
        <v>1</v>
      </c>
      <c r="D200" s="5">
        <f>SUMIF(fin_table[Branch Code],B200,fin_table[Loan Amount])</f>
        <v>37105.79</v>
      </c>
    </row>
    <row r="201" spans="2:4" x14ac:dyDescent="0.35">
      <c r="B201" t="str">
        <v>BR643</v>
      </c>
      <c r="C201">
        <f>COUNTIF(fin_table[],B201)</f>
        <v>1</v>
      </c>
      <c r="D201" s="5">
        <f>SUMIF(fin_table[Branch Code],B201,fin_table[Loan Amount])</f>
        <v>26681.654999999999</v>
      </c>
    </row>
    <row r="202" spans="2:4" x14ac:dyDescent="0.35">
      <c r="B202" t="str">
        <v>BR100</v>
      </c>
      <c r="C202">
        <f>COUNTIF(fin_table[],B202)</f>
        <v>1</v>
      </c>
      <c r="D202" s="5">
        <f>SUMIF(fin_table[Branch Code],B202,fin_table[Loan Amount])</f>
        <v>23782.42</v>
      </c>
    </row>
    <row r="203" spans="2:4" x14ac:dyDescent="0.35">
      <c r="B203" t="str">
        <v>BR683</v>
      </c>
      <c r="C203">
        <f>COUNTIF(fin_table[],B203)</f>
        <v>2</v>
      </c>
      <c r="D203" s="5">
        <f>SUMIF(fin_table[Branch Code],B203,fin_table[Loan Amount])</f>
        <v>51899.964999999997</v>
      </c>
    </row>
    <row r="204" spans="2:4" x14ac:dyDescent="0.35">
      <c r="B204" t="str">
        <v>BR531</v>
      </c>
      <c r="C204">
        <f>COUNTIF(fin_table[],B204)</f>
        <v>1</v>
      </c>
      <c r="D204" s="5">
        <f>SUMIF(fin_table[Branch Code],B204,fin_table[Loan Amount])</f>
        <v>26681.654999999999</v>
      </c>
    </row>
    <row r="205" spans="2:4" x14ac:dyDescent="0.35">
      <c r="B205" t="str">
        <v>BR405</v>
      </c>
      <c r="C205">
        <f>COUNTIF(fin_table[],B205)</f>
        <v>3</v>
      </c>
      <c r="D205" s="5">
        <f>SUMIF(fin_table[Branch Code],B205,fin_table[Loan Amount])</f>
        <v>80044.964999999997</v>
      </c>
    </row>
    <row r="206" spans="2:4" x14ac:dyDescent="0.35">
      <c r="B206" t="str">
        <v>BR626</v>
      </c>
      <c r="C206">
        <f>COUNTIF(fin_table[],B206)</f>
        <v>2</v>
      </c>
      <c r="D206" s="5">
        <f>SUMIF(fin_table[Branch Code],B206,fin_table[Loan Amount])</f>
        <v>73995.684999999998</v>
      </c>
    </row>
    <row r="207" spans="2:4" x14ac:dyDescent="0.35">
      <c r="B207" t="str">
        <v>BR152</v>
      </c>
      <c r="C207">
        <f>COUNTIF(fin_table[],B207)</f>
        <v>3</v>
      </c>
      <c r="D207" s="5">
        <f>SUMIF(fin_table[Branch Code],B207,fin_table[Loan Amount])</f>
        <v>91853.06</v>
      </c>
    </row>
    <row r="208" spans="2:4" x14ac:dyDescent="0.35">
      <c r="B208" t="str">
        <v>BR429</v>
      </c>
      <c r="C208">
        <f>COUNTIF(fin_table[],B208)</f>
        <v>3</v>
      </c>
      <c r="D208" s="5">
        <f>SUMIF(fin_table[Branch Code],B208,fin_table[Loan Amount])</f>
        <v>76156.539999999994</v>
      </c>
    </row>
    <row r="209" spans="2:4" x14ac:dyDescent="0.35">
      <c r="B209" t="str">
        <v>BR657</v>
      </c>
      <c r="C209">
        <f>COUNTIF(fin_table[],B209)</f>
        <v>3</v>
      </c>
      <c r="D209" s="5">
        <f>SUMIF(fin_table[Branch Code],B209,fin_table[Loan Amount])</f>
        <v>75411.45</v>
      </c>
    </row>
    <row r="210" spans="2:4" x14ac:dyDescent="0.35">
      <c r="B210" t="str">
        <v>BR424</v>
      </c>
      <c r="C210">
        <f>COUNTIF(fin_table[],B210)</f>
        <v>2</v>
      </c>
      <c r="D210" s="5">
        <f>SUMIF(fin_table[Branch Code],B210,fin_table[Loan Amount])</f>
        <v>53363.31</v>
      </c>
    </row>
    <row r="211" spans="2:4" x14ac:dyDescent="0.35">
      <c r="B211" t="str">
        <v>BR213</v>
      </c>
      <c r="C211">
        <f>COUNTIF(fin_table[],B211)</f>
        <v>2</v>
      </c>
      <c r="D211" s="5">
        <f>SUMIF(fin_table[Branch Code],B211,fin_table[Loan Amount])</f>
        <v>31801.724999999999</v>
      </c>
    </row>
    <row r="212" spans="2:4" x14ac:dyDescent="0.35">
      <c r="B212" t="str">
        <v>BR246</v>
      </c>
      <c r="C212">
        <f>COUNTIF(fin_table[],B212)</f>
        <v>2</v>
      </c>
      <c r="D212" s="5">
        <f>SUMIF(fin_table[Branch Code],B212,fin_table[Loan Amount])</f>
        <v>53363.31</v>
      </c>
    </row>
    <row r="213" spans="2:4" x14ac:dyDescent="0.35">
      <c r="B213" t="str">
        <v>BR265</v>
      </c>
      <c r="C213">
        <f>COUNTIF(fin_table[],B213)</f>
        <v>1</v>
      </c>
      <c r="D213" s="5">
        <f>SUMIF(fin_table[Branch Code],B213,fin_table[Loan Amount])</f>
        <v>24011.54</v>
      </c>
    </row>
    <row r="214" spans="2:4" x14ac:dyDescent="0.35">
      <c r="B214" t="str">
        <v>BR478</v>
      </c>
      <c r="C214">
        <f>COUNTIF(fin_table[],B214)</f>
        <v>1</v>
      </c>
      <c r="D214" s="5">
        <f>SUMIF(fin_table[Branch Code],B214,fin_table[Loan Amount])</f>
        <v>26681.654999999999</v>
      </c>
    </row>
    <row r="215" spans="2:4" x14ac:dyDescent="0.35">
      <c r="B215" t="str">
        <v>BR238</v>
      </c>
      <c r="C215">
        <f>COUNTIF(fin_table[],B215)</f>
        <v>3</v>
      </c>
      <c r="D215" s="5">
        <f>SUMIF(fin_table[Branch Code],B215,fin_table[Loan Amount])</f>
        <v>69518.665000000008</v>
      </c>
    </row>
    <row r="216" spans="2:4" x14ac:dyDescent="0.35">
      <c r="B216" t="str">
        <v>BR728</v>
      </c>
      <c r="C216">
        <f>COUNTIF(fin_table[],B216)</f>
        <v>1</v>
      </c>
      <c r="D216" s="5">
        <f>SUMIF(fin_table[Branch Code],B216,fin_table[Loan Amount])</f>
        <v>26681.654999999999</v>
      </c>
    </row>
    <row r="217" spans="2:4" x14ac:dyDescent="0.35">
      <c r="B217" t="str">
        <v>BR375</v>
      </c>
      <c r="C217">
        <f>COUNTIF(fin_table[],B217)</f>
        <v>3</v>
      </c>
      <c r="D217" s="5">
        <f>SUMIF(fin_table[Branch Code],B217,fin_table[Loan Amount])</f>
        <v>80044.964999999997</v>
      </c>
    </row>
    <row r="218" spans="2:4" x14ac:dyDescent="0.35">
      <c r="B218" t="str">
        <v>BR888</v>
      </c>
      <c r="C218">
        <f>COUNTIF(fin_table[],B218)</f>
        <v>2</v>
      </c>
      <c r="D218" s="5">
        <f>SUMIF(fin_table[Branch Code],B218,fin_table[Loan Amount])</f>
        <v>53363.31</v>
      </c>
    </row>
    <row r="219" spans="2:4" x14ac:dyDescent="0.35">
      <c r="B219" t="str">
        <v>BR924</v>
      </c>
      <c r="C219">
        <f>COUNTIF(fin_table[],B219)</f>
        <v>3</v>
      </c>
      <c r="D219" s="5">
        <f>SUMIF(fin_table[Branch Code],B219,fin_table[Loan Amount])</f>
        <v>103524.26999999999</v>
      </c>
    </row>
    <row r="220" spans="2:4" x14ac:dyDescent="0.35">
      <c r="B220" t="str">
        <v>BR277</v>
      </c>
      <c r="C220">
        <f>COUNTIF(fin_table[],B220)</f>
        <v>1</v>
      </c>
      <c r="D220" s="5">
        <f>SUMIF(fin_table[Branch Code],B220,fin_table[Loan Amount])</f>
        <v>20921.13</v>
      </c>
    </row>
    <row r="221" spans="2:4" x14ac:dyDescent="0.35">
      <c r="B221" t="str">
        <v>BR941</v>
      </c>
      <c r="C221">
        <f>COUNTIF(fin_table[],B221)</f>
        <v>2</v>
      </c>
      <c r="D221" s="5">
        <f>SUMIF(fin_table[Branch Code],B221,fin_table[Loan Amount])</f>
        <v>50168.074999999997</v>
      </c>
    </row>
    <row r="222" spans="2:4" x14ac:dyDescent="0.35">
      <c r="B222" t="str">
        <v>BR253</v>
      </c>
      <c r="C222">
        <f>COUNTIF(fin_table[],B222)</f>
        <v>1</v>
      </c>
      <c r="D222" s="5">
        <f>SUMIF(fin_table[Branch Code],B222,fin_table[Loan Amount])</f>
        <v>26681.654999999999</v>
      </c>
    </row>
    <row r="223" spans="2:4" x14ac:dyDescent="0.35">
      <c r="B223" t="str">
        <v>BR977</v>
      </c>
      <c r="C223">
        <f>COUNTIF(fin_table[],B223)</f>
        <v>2</v>
      </c>
      <c r="D223" s="5">
        <f>SUMIF(fin_table[Branch Code],B223,fin_table[Loan Amount])</f>
        <v>71004.42</v>
      </c>
    </row>
    <row r="224" spans="2:4" x14ac:dyDescent="0.35">
      <c r="B224" t="str">
        <v>BR214</v>
      </c>
      <c r="C224">
        <f>COUNTIF(fin_table[],B224)</f>
        <v>1</v>
      </c>
      <c r="D224" s="5">
        <f>SUMIF(fin_table[Branch Code],B224,fin_table[Loan Amount])</f>
        <v>26681.654999999999</v>
      </c>
    </row>
    <row r="225" spans="2:4" x14ac:dyDescent="0.35">
      <c r="B225" t="str">
        <v>BR770</v>
      </c>
      <c r="C225">
        <f>COUNTIF(fin_table[],B225)</f>
        <v>1</v>
      </c>
      <c r="D225" s="5">
        <f>SUMIF(fin_table[Branch Code],B225,fin_table[Loan Amount])</f>
        <v>17906.57</v>
      </c>
    </row>
    <row r="226" spans="2:4" x14ac:dyDescent="0.35">
      <c r="B226" t="str">
        <v>BR653</v>
      </c>
      <c r="C226">
        <f>COUNTIF(fin_table[],B226)</f>
        <v>1</v>
      </c>
      <c r="D226" s="5">
        <f>SUMIF(fin_table[Branch Code],B226,fin_table[Loan Amount])</f>
        <v>26681.654999999999</v>
      </c>
    </row>
    <row r="227" spans="2:4" x14ac:dyDescent="0.35">
      <c r="B227" t="str">
        <v>BR858</v>
      </c>
      <c r="C227">
        <f>COUNTIF(fin_table[],B227)</f>
        <v>1</v>
      </c>
      <c r="D227" s="5">
        <f>SUMIF(fin_table[Branch Code],B227,fin_table[Loan Amount])</f>
        <v>38277.660000000003</v>
      </c>
    </row>
    <row r="228" spans="2:4" x14ac:dyDescent="0.35">
      <c r="B228" t="str">
        <v>BR167</v>
      </c>
      <c r="C228">
        <f>COUNTIF(fin_table[],B228)</f>
        <v>1</v>
      </c>
      <c r="D228" s="5">
        <f>SUMIF(fin_table[Branch Code],B228,fin_table[Loan Amount])</f>
        <v>48583.11</v>
      </c>
    </row>
    <row r="229" spans="2:4" x14ac:dyDescent="0.35">
      <c r="B229" t="str">
        <v>BR544</v>
      </c>
      <c r="C229">
        <f>COUNTIF(fin_table[],B229)</f>
        <v>2</v>
      </c>
      <c r="D229" s="5">
        <f>SUMIF(fin_table[Branch Code],B229,fin_table[Loan Amount])</f>
        <v>69010.165000000008</v>
      </c>
    </row>
    <row r="230" spans="2:4" x14ac:dyDescent="0.35">
      <c r="B230" t="str">
        <v>BR425</v>
      </c>
      <c r="C230">
        <f>COUNTIF(fin_table[],B230)</f>
        <v>1</v>
      </c>
      <c r="D230" s="5">
        <f>SUMIF(fin_table[Branch Code],B230,fin_table[Loan Amount])</f>
        <v>26681.654999999999</v>
      </c>
    </row>
    <row r="231" spans="2:4" x14ac:dyDescent="0.35">
      <c r="B231" t="str">
        <v>BR945</v>
      </c>
      <c r="C231">
        <f>COUNTIF(fin_table[],B231)</f>
        <v>1</v>
      </c>
      <c r="D231" s="5">
        <f>SUMIF(fin_table[Branch Code],B231,fin_table[Loan Amount])</f>
        <v>44306.29</v>
      </c>
    </row>
    <row r="232" spans="2:4" x14ac:dyDescent="0.35">
      <c r="B232" t="str">
        <v>BR701</v>
      </c>
      <c r="C232">
        <f>COUNTIF(fin_table[],B232)</f>
        <v>3</v>
      </c>
      <c r="D232" s="5">
        <f>SUMIF(fin_table[Branch Code],B232,fin_table[Loan Amount])</f>
        <v>80044.964999999997</v>
      </c>
    </row>
    <row r="233" spans="2:4" x14ac:dyDescent="0.35">
      <c r="B233" t="str">
        <v>BR979</v>
      </c>
      <c r="C233">
        <f>COUNTIF(fin_table[],B233)</f>
        <v>1</v>
      </c>
      <c r="D233" s="5">
        <f>SUMIF(fin_table[Branch Code],B233,fin_table[Loan Amount])</f>
        <v>28911.24</v>
      </c>
    </row>
    <row r="234" spans="2:4" x14ac:dyDescent="0.35">
      <c r="B234" t="str">
        <v>BR458</v>
      </c>
      <c r="C234">
        <f>COUNTIF(fin_table[],B234)</f>
        <v>3</v>
      </c>
      <c r="D234" s="5">
        <f>SUMIF(fin_table[Branch Code],B234,fin_table[Loan Amount])</f>
        <v>80095.514999999999</v>
      </c>
    </row>
    <row r="235" spans="2:4" x14ac:dyDescent="0.35">
      <c r="B235" t="str">
        <v>BR244</v>
      </c>
      <c r="C235">
        <f>COUNTIF(fin_table[],B235)</f>
        <v>1</v>
      </c>
      <c r="D235" s="5">
        <f>SUMIF(fin_table[Branch Code],B235,fin_table[Loan Amount])</f>
        <v>26681.654999999999</v>
      </c>
    </row>
    <row r="236" spans="2:4" x14ac:dyDescent="0.35">
      <c r="B236" t="str">
        <v>BR374</v>
      </c>
      <c r="C236">
        <f>COUNTIF(fin_table[],B236)</f>
        <v>2</v>
      </c>
      <c r="D236" s="5">
        <f>SUMIF(fin_table[Branch Code],B236,fin_table[Loan Amount])</f>
        <v>53363.31</v>
      </c>
    </row>
    <row r="237" spans="2:4" x14ac:dyDescent="0.35">
      <c r="B237" t="str">
        <v>BR608</v>
      </c>
      <c r="C237">
        <f>COUNTIF(fin_table[],B237)</f>
        <v>1</v>
      </c>
      <c r="D237" s="5">
        <f>SUMIF(fin_table[Branch Code],B237,fin_table[Loan Amount])</f>
        <v>26681.654999999999</v>
      </c>
    </row>
    <row r="238" spans="2:4" x14ac:dyDescent="0.35">
      <c r="B238" t="str">
        <v>BR278</v>
      </c>
      <c r="C238">
        <f>COUNTIF(fin_table[],B238)</f>
        <v>1</v>
      </c>
      <c r="D238" s="5">
        <f>SUMIF(fin_table[Branch Code],B238,fin_table[Loan Amount])</f>
        <v>19280.93</v>
      </c>
    </row>
    <row r="239" spans="2:4" x14ac:dyDescent="0.35">
      <c r="B239" t="str">
        <v>BR930</v>
      </c>
      <c r="C239">
        <f>COUNTIF(fin_table[],B239)</f>
        <v>2</v>
      </c>
      <c r="D239" s="5">
        <f>SUMIF(fin_table[Branch Code],B239,fin_table[Loan Amount])</f>
        <v>66304.464999999997</v>
      </c>
    </row>
    <row r="240" spans="2:4" x14ac:dyDescent="0.35">
      <c r="B240" t="str">
        <v>BR576</v>
      </c>
      <c r="C240">
        <f>COUNTIF(fin_table[],B240)</f>
        <v>1</v>
      </c>
      <c r="D240" s="5">
        <f>SUMIF(fin_table[Branch Code],B240,fin_table[Loan Amount])</f>
        <v>26681.654999999999</v>
      </c>
    </row>
    <row r="241" spans="2:4" x14ac:dyDescent="0.35">
      <c r="B241" t="str">
        <v>BR942</v>
      </c>
      <c r="C241">
        <f>COUNTIF(fin_table[],B241)</f>
        <v>2</v>
      </c>
      <c r="D241" s="5">
        <f>SUMIF(fin_table[Branch Code],B241,fin_table[Loan Amount])</f>
        <v>53363.31</v>
      </c>
    </row>
    <row r="242" spans="2:4" x14ac:dyDescent="0.35">
      <c r="B242" t="str">
        <v>BR513</v>
      </c>
      <c r="C242">
        <f>COUNTIF(fin_table[],B242)</f>
        <v>2</v>
      </c>
      <c r="D242" s="5">
        <f>SUMIF(fin_table[Branch Code],B242,fin_table[Loan Amount])</f>
        <v>64687.364999999998</v>
      </c>
    </row>
    <row r="243" spans="2:4" x14ac:dyDescent="0.35">
      <c r="B243" t="str">
        <v>BR252</v>
      </c>
      <c r="C243">
        <f>COUNTIF(fin_table[],B243)</f>
        <v>1</v>
      </c>
      <c r="D243" s="5">
        <f>SUMIF(fin_table[Branch Code],B243,fin_table[Loan Amount])</f>
        <v>26681.654999999999</v>
      </c>
    </row>
    <row r="244" spans="2:4" x14ac:dyDescent="0.35">
      <c r="B244" t="str">
        <v>BR174</v>
      </c>
      <c r="C244">
        <f>COUNTIF(fin_table[],B244)</f>
        <v>1</v>
      </c>
      <c r="D244" s="5">
        <f>SUMIF(fin_table[Branch Code],B244,fin_table[Loan Amount])</f>
        <v>26681.654999999999</v>
      </c>
    </row>
    <row r="245" spans="2:4" x14ac:dyDescent="0.35">
      <c r="B245" t="str">
        <v>BR227</v>
      </c>
      <c r="C245">
        <f>COUNTIF(fin_table[],B245)</f>
        <v>2</v>
      </c>
      <c r="D245" s="5">
        <f>SUMIF(fin_table[Branch Code],B245,fin_table[Loan Amount])</f>
        <v>76230.785000000003</v>
      </c>
    </row>
    <row r="246" spans="2:4" x14ac:dyDescent="0.35">
      <c r="B246" t="str">
        <v>BR810</v>
      </c>
      <c r="C246">
        <f>COUNTIF(fin_table[],B246)</f>
        <v>2</v>
      </c>
      <c r="D246" s="5">
        <f>SUMIF(fin_table[Branch Code],B246,fin_table[Loan Amount])</f>
        <v>53363.31</v>
      </c>
    </row>
    <row r="247" spans="2:4" x14ac:dyDescent="0.35">
      <c r="B247" t="str">
        <v>BR889</v>
      </c>
      <c r="C247">
        <f>COUNTIF(fin_table[],B247)</f>
        <v>1</v>
      </c>
      <c r="D247" s="5">
        <f>SUMIF(fin_table[Branch Code],B247,fin_table[Loan Amount])</f>
        <v>26681.654999999999</v>
      </c>
    </row>
    <row r="248" spans="2:4" x14ac:dyDescent="0.35">
      <c r="B248" t="str">
        <v>BR444</v>
      </c>
      <c r="C248">
        <f>COUNTIF(fin_table[],B248)</f>
        <v>2</v>
      </c>
      <c r="D248" s="5">
        <f>SUMIF(fin_table[Branch Code],B248,fin_table[Loan Amount])</f>
        <v>19871.919999999998</v>
      </c>
    </row>
    <row r="249" spans="2:4" x14ac:dyDescent="0.35">
      <c r="B249" t="str">
        <v>BR630</v>
      </c>
      <c r="C249">
        <f>COUNTIF(fin_table[],B249)</f>
        <v>1</v>
      </c>
      <c r="D249" s="5">
        <f>SUMIF(fin_table[Branch Code],B249,fin_table[Loan Amount])</f>
        <v>48677</v>
      </c>
    </row>
    <row r="250" spans="2:4" x14ac:dyDescent="0.35">
      <c r="B250" t="str">
        <v>BR258</v>
      </c>
      <c r="C250">
        <f>COUNTIF(fin_table[],B250)</f>
        <v>1</v>
      </c>
      <c r="D250" s="5">
        <f>SUMIF(fin_table[Branch Code],B250,fin_table[Loan Amount])</f>
        <v>29971.919999999998</v>
      </c>
    </row>
    <row r="251" spans="2:4" x14ac:dyDescent="0.35">
      <c r="B251" t="str">
        <v>BR637</v>
      </c>
      <c r="C251">
        <f>COUNTIF(fin_table[],B251)</f>
        <v>3</v>
      </c>
      <c r="D251" s="5">
        <f>SUMIF(fin_table[Branch Code],B251,fin_table[Loan Amount])</f>
        <v>71715.600000000006</v>
      </c>
    </row>
    <row r="252" spans="2:4" x14ac:dyDescent="0.35">
      <c r="B252" t="str">
        <v>BR780</v>
      </c>
      <c r="C252">
        <f>COUNTIF(fin_table[],B252)</f>
        <v>4</v>
      </c>
      <c r="D252" s="5">
        <f>SUMIF(fin_table[Branch Code],B252,fin_table[Loan Amount])</f>
        <v>107813.41499999999</v>
      </c>
    </row>
    <row r="253" spans="2:4" x14ac:dyDescent="0.35">
      <c r="B253" t="str">
        <v>BR122</v>
      </c>
      <c r="C253">
        <f>COUNTIF(fin_table[],B253)</f>
        <v>3</v>
      </c>
      <c r="D253" s="5">
        <f>SUMIF(fin_table[Branch Code],B253,fin_table[Loan Amount])</f>
        <v>97443.485000000001</v>
      </c>
    </row>
    <row r="254" spans="2:4" x14ac:dyDescent="0.35">
      <c r="B254" t="str">
        <v>BR146</v>
      </c>
      <c r="C254">
        <f>COUNTIF(fin_table[],B254)</f>
        <v>3</v>
      </c>
      <c r="D254" s="5">
        <f>SUMIF(fin_table[Branch Code],B254,fin_table[Loan Amount])</f>
        <v>84214.165000000008</v>
      </c>
    </row>
    <row r="255" spans="2:4" x14ac:dyDescent="0.35">
      <c r="B255" t="str">
        <v>BR624</v>
      </c>
      <c r="C255">
        <f>COUNTIF(fin_table[],B255)</f>
        <v>1</v>
      </c>
      <c r="D255" s="5">
        <f>SUMIF(fin_table[Branch Code],B255,fin_table[Loan Amount])</f>
        <v>15935.09</v>
      </c>
    </row>
    <row r="256" spans="2:4" x14ac:dyDescent="0.35">
      <c r="B256" t="str">
        <v>BR828</v>
      </c>
      <c r="C256">
        <f>COUNTIF(fin_table[],B256)</f>
        <v>1</v>
      </c>
      <c r="D256" s="5">
        <f>SUMIF(fin_table[Branch Code],B256,fin_table[Loan Amount])</f>
        <v>26681.654999999999</v>
      </c>
    </row>
    <row r="257" spans="2:4" x14ac:dyDescent="0.35">
      <c r="B257" t="str">
        <v>BR933</v>
      </c>
      <c r="C257">
        <f>COUNTIF(fin_table[],B257)</f>
        <v>1</v>
      </c>
      <c r="D257" s="5">
        <f>SUMIF(fin_table[Branch Code],B257,fin_table[Loan Amount])</f>
        <v>26681.654999999999</v>
      </c>
    </row>
    <row r="258" spans="2:4" x14ac:dyDescent="0.35">
      <c r="B258" t="str">
        <v>BR243</v>
      </c>
      <c r="C258">
        <f>COUNTIF(fin_table[],B258)</f>
        <v>2</v>
      </c>
      <c r="D258" s="5">
        <f>SUMIF(fin_table[Branch Code],B258,fin_table[Loan Amount])</f>
        <v>50533.279999999999</v>
      </c>
    </row>
    <row r="259" spans="2:4" x14ac:dyDescent="0.35">
      <c r="B259" t="str">
        <v>BR767</v>
      </c>
      <c r="C259">
        <f>COUNTIF(fin_table[],B259)</f>
        <v>3</v>
      </c>
      <c r="D259" s="5">
        <f>SUMIF(fin_table[Branch Code],B259,fin_table[Loan Amount])</f>
        <v>73952.789999999994</v>
      </c>
    </row>
    <row r="260" spans="2:4" x14ac:dyDescent="0.35">
      <c r="B260" t="str">
        <v>BR518</v>
      </c>
      <c r="C260">
        <f>COUNTIF(fin_table[],B260)</f>
        <v>1</v>
      </c>
      <c r="D260" s="5">
        <f>SUMIF(fin_table[Branch Code],B260,fin_table[Loan Amount])</f>
        <v>42134.67</v>
      </c>
    </row>
    <row r="261" spans="2:4" x14ac:dyDescent="0.35">
      <c r="B261" t="str">
        <v>BR184</v>
      </c>
      <c r="C261">
        <f>COUNTIF(fin_table[],B261)</f>
        <v>1</v>
      </c>
      <c r="D261" s="5">
        <f>SUMIF(fin_table[Branch Code],B261,fin_table[Loan Amount])</f>
        <v>26681.654999999999</v>
      </c>
    </row>
    <row r="262" spans="2:4" x14ac:dyDescent="0.35">
      <c r="B262" t="str">
        <v>BR515</v>
      </c>
      <c r="C262">
        <f>COUNTIF(fin_table[],B262)</f>
        <v>1</v>
      </c>
      <c r="D262" s="5">
        <f>SUMIF(fin_table[Branch Code],B262,fin_table[Loan Amount])</f>
        <v>26681.654999999999</v>
      </c>
    </row>
    <row r="263" spans="2:4" x14ac:dyDescent="0.35">
      <c r="B263" t="str">
        <v>BR581</v>
      </c>
      <c r="C263">
        <f>COUNTIF(fin_table[],B263)</f>
        <v>3</v>
      </c>
      <c r="D263" s="5">
        <f>SUMIF(fin_table[Branch Code],B263,fin_table[Loan Amount])</f>
        <v>92341.94</v>
      </c>
    </row>
    <row r="264" spans="2:4" x14ac:dyDescent="0.35">
      <c r="B264" t="str">
        <v>BR555</v>
      </c>
      <c r="C264">
        <f>COUNTIF(fin_table[],B264)</f>
        <v>1</v>
      </c>
      <c r="D264" s="5">
        <f>SUMIF(fin_table[Branch Code],B264,fin_table[Loan Amount])</f>
        <v>26681.654999999999</v>
      </c>
    </row>
    <row r="265" spans="2:4" x14ac:dyDescent="0.35">
      <c r="B265" t="str">
        <v>BR926</v>
      </c>
      <c r="C265">
        <f>COUNTIF(fin_table[],B265)</f>
        <v>1</v>
      </c>
      <c r="D265" s="5">
        <f>SUMIF(fin_table[Branch Code],B265,fin_table[Loan Amount])</f>
        <v>47703.98</v>
      </c>
    </row>
    <row r="266" spans="2:4" x14ac:dyDescent="0.35">
      <c r="B266" t="str">
        <v>BR396</v>
      </c>
      <c r="C266">
        <f>COUNTIF(fin_table[],B266)</f>
        <v>2</v>
      </c>
      <c r="D266" s="5">
        <f>SUMIF(fin_table[Branch Code],B266,fin_table[Loan Amount])</f>
        <v>84423.51999999999</v>
      </c>
    </row>
    <row r="267" spans="2:4" x14ac:dyDescent="0.35">
      <c r="B267" t="str">
        <v>BR211</v>
      </c>
      <c r="C267">
        <f>COUNTIF(fin_table[],B267)</f>
        <v>1</v>
      </c>
      <c r="D267" s="5">
        <f>SUMIF(fin_table[Branch Code],B267,fin_table[Loan Amount])</f>
        <v>19986.77</v>
      </c>
    </row>
    <row r="268" spans="2:4" x14ac:dyDescent="0.35">
      <c r="B268" t="str">
        <v>BR329</v>
      </c>
      <c r="C268">
        <f>COUNTIF(fin_table[],B268)</f>
        <v>2</v>
      </c>
      <c r="D268" s="5">
        <f>SUMIF(fin_table[Branch Code],B268,fin_table[Loan Amount])</f>
        <v>55133.354999999996</v>
      </c>
    </row>
    <row r="269" spans="2:4" x14ac:dyDescent="0.35">
      <c r="B269" t="str">
        <v>BR195</v>
      </c>
      <c r="C269">
        <f>COUNTIF(fin_table[],B269)</f>
        <v>2</v>
      </c>
      <c r="D269" s="5">
        <f>SUMIF(fin_table[Branch Code],B269,fin_table[Loan Amount])</f>
        <v>50731.354999999996</v>
      </c>
    </row>
    <row r="270" spans="2:4" x14ac:dyDescent="0.35">
      <c r="B270" t="str">
        <v>BR779</v>
      </c>
      <c r="C270">
        <f>COUNTIF(fin_table[],B270)</f>
        <v>2</v>
      </c>
      <c r="D270" s="5">
        <f>SUMIF(fin_table[Branch Code],B270,fin_table[Loan Amount])</f>
        <v>53363.31</v>
      </c>
    </row>
    <row r="271" spans="2:4" x14ac:dyDescent="0.35">
      <c r="B271" t="str">
        <v>BR477</v>
      </c>
      <c r="C271">
        <f>COUNTIF(fin_table[],B271)</f>
        <v>1</v>
      </c>
      <c r="D271" s="5">
        <f>SUMIF(fin_table[Branch Code],B271,fin_table[Loan Amount])</f>
        <v>26681.654999999999</v>
      </c>
    </row>
    <row r="272" spans="2:4" x14ac:dyDescent="0.35">
      <c r="B272" t="str">
        <v>BR255</v>
      </c>
      <c r="C272">
        <f>COUNTIF(fin_table[],B272)</f>
        <v>2</v>
      </c>
      <c r="D272" s="5">
        <f>SUMIF(fin_table[Branch Code],B272,fin_table[Loan Amount])</f>
        <v>53363.31</v>
      </c>
    </row>
    <row r="273" spans="2:4" x14ac:dyDescent="0.35">
      <c r="B273" t="str">
        <v>BR520</v>
      </c>
      <c r="C273">
        <f>COUNTIF(fin_table[],B273)</f>
        <v>1</v>
      </c>
      <c r="D273" s="5">
        <f>SUMIF(fin_table[Branch Code],B273,fin_table[Loan Amount])</f>
        <v>26681.654999999999</v>
      </c>
    </row>
    <row r="274" spans="2:4" x14ac:dyDescent="0.35">
      <c r="B274" t="str">
        <v>BR804</v>
      </c>
      <c r="C274">
        <f>COUNTIF(fin_table[],B274)</f>
        <v>3</v>
      </c>
      <c r="D274" s="5">
        <f>SUMIF(fin_table[Branch Code],B274,fin_table[Loan Amount])</f>
        <v>87388.75</v>
      </c>
    </row>
    <row r="275" spans="2:4" x14ac:dyDescent="0.35">
      <c r="B275" t="str">
        <v>BR538</v>
      </c>
      <c r="C275">
        <f>COUNTIF(fin_table[],B275)</f>
        <v>1</v>
      </c>
      <c r="D275" s="5">
        <f>SUMIF(fin_table[Branch Code],B275,fin_table[Loan Amount])</f>
        <v>41800.81</v>
      </c>
    </row>
    <row r="276" spans="2:4" x14ac:dyDescent="0.35">
      <c r="B276" t="str">
        <v>BR966</v>
      </c>
      <c r="C276">
        <f>COUNTIF(fin_table[],B276)</f>
        <v>1</v>
      </c>
      <c r="D276" s="5">
        <f>SUMIF(fin_table[Branch Code],B276,fin_table[Loan Amount])</f>
        <v>26681.654999999999</v>
      </c>
    </row>
    <row r="277" spans="2:4" x14ac:dyDescent="0.35">
      <c r="B277" t="str">
        <v>BR481</v>
      </c>
      <c r="C277">
        <f>COUNTIF(fin_table[],B277)</f>
        <v>3</v>
      </c>
      <c r="D277" s="5">
        <f>SUMIF(fin_table[Branch Code],B277,fin_table[Loan Amount])</f>
        <v>100461.53</v>
      </c>
    </row>
    <row r="278" spans="2:4" x14ac:dyDescent="0.35">
      <c r="B278" t="str">
        <v>BR369</v>
      </c>
      <c r="C278">
        <f>COUNTIF(fin_table[],B278)</f>
        <v>3</v>
      </c>
      <c r="D278" s="5">
        <f>SUMIF(fin_table[Branch Code],B278,fin_table[Loan Amount])</f>
        <v>73938.3</v>
      </c>
    </row>
    <row r="279" spans="2:4" x14ac:dyDescent="0.35">
      <c r="B279" t="str">
        <v>BR649</v>
      </c>
      <c r="C279">
        <f>COUNTIF(fin_table[],B279)</f>
        <v>4</v>
      </c>
      <c r="D279" s="5">
        <f>SUMIF(fin_table[Branch Code],B279,fin_table[Loan Amount])</f>
        <v>91215.819999999992</v>
      </c>
    </row>
    <row r="280" spans="2:4" x14ac:dyDescent="0.35">
      <c r="B280" t="str">
        <v>BR495</v>
      </c>
      <c r="C280">
        <f>COUNTIF(fin_table[],B280)</f>
        <v>1</v>
      </c>
      <c r="D280" s="5">
        <f>SUMIF(fin_table[Branch Code],B280,fin_table[Loan Amount])</f>
        <v>26681.654999999999</v>
      </c>
    </row>
    <row r="281" spans="2:4" x14ac:dyDescent="0.35">
      <c r="B281" t="str">
        <v>BR774</v>
      </c>
      <c r="C281">
        <f>COUNTIF(fin_table[],B281)</f>
        <v>1</v>
      </c>
      <c r="D281" s="5">
        <f>SUMIF(fin_table[Branch Code],B281,fin_table[Loan Amount])</f>
        <v>26681.654999999999</v>
      </c>
    </row>
    <row r="282" spans="2:4" x14ac:dyDescent="0.35">
      <c r="B282" t="str">
        <v>BR549</v>
      </c>
      <c r="C282">
        <f>COUNTIF(fin_table[],B282)</f>
        <v>2</v>
      </c>
      <c r="D282" s="5">
        <f>SUMIF(fin_table[Branch Code],B282,fin_table[Loan Amount])</f>
        <v>53363.31</v>
      </c>
    </row>
    <row r="283" spans="2:4" x14ac:dyDescent="0.35">
      <c r="B283" t="str">
        <v>BR430</v>
      </c>
      <c r="C283">
        <f>COUNTIF(fin_table[],B283)</f>
        <v>1</v>
      </c>
      <c r="D283" s="5">
        <f>SUMIF(fin_table[Branch Code],B283,fin_table[Loan Amount])</f>
        <v>26681.654999999999</v>
      </c>
    </row>
    <row r="284" spans="2:4" x14ac:dyDescent="0.35">
      <c r="B284" t="str">
        <v>BR352</v>
      </c>
      <c r="C284">
        <f>COUNTIF(fin_table[],B284)</f>
        <v>4</v>
      </c>
      <c r="D284" s="5">
        <f>SUMIF(fin_table[Branch Code],B284,fin_table[Loan Amount])</f>
        <v>123348.15</v>
      </c>
    </row>
    <row r="285" spans="2:4" x14ac:dyDescent="0.35">
      <c r="B285" t="str">
        <v>BR384</v>
      </c>
      <c r="C285">
        <f>COUNTIF(fin_table[],B285)</f>
        <v>1</v>
      </c>
      <c r="D285" s="5">
        <f>SUMIF(fin_table[Branch Code],B285,fin_table[Loan Amount])</f>
        <v>26681.654999999999</v>
      </c>
    </row>
    <row r="286" spans="2:4" x14ac:dyDescent="0.35">
      <c r="B286" t="str">
        <v>BR373</v>
      </c>
      <c r="C286">
        <f>COUNTIF(fin_table[],B286)</f>
        <v>2</v>
      </c>
      <c r="D286" s="5">
        <f>SUMIF(fin_table[Branch Code],B286,fin_table[Loan Amount])</f>
        <v>65239.875</v>
      </c>
    </row>
    <row r="287" spans="2:4" x14ac:dyDescent="0.35">
      <c r="B287" t="str">
        <v>BR517</v>
      </c>
      <c r="C287" s="55">
        <f>AVERAGE(C1:C286)</f>
        <v>1.9927007299270072</v>
      </c>
      <c r="D287" s="5">
        <f>SUMIF(fin_table[Branch Code],B287,fin_table[Loan Amount])</f>
        <v>65284.345000000001</v>
      </c>
    </row>
    <row r="288" spans="2:4" x14ac:dyDescent="0.35">
      <c r="B288" t="str">
        <v>BR409</v>
      </c>
      <c r="C288">
        <f>COUNTIF(fin_table[],B288)</f>
        <v>2</v>
      </c>
      <c r="D288" s="5">
        <f>SUMIF(fin_table[Branch Code],B288,fin_table[Loan Amount])</f>
        <v>57589.95</v>
      </c>
    </row>
    <row r="289" spans="2:4" x14ac:dyDescent="0.35">
      <c r="B289" t="str">
        <v>BR130</v>
      </c>
      <c r="C289">
        <f>COUNTIF(fin_table[],B289)</f>
        <v>2</v>
      </c>
      <c r="D289" s="5">
        <f>SUMIF(fin_table[Branch Code],B289,fin_table[Loan Amount])</f>
        <v>48619.134999999995</v>
      </c>
    </row>
    <row r="290" spans="2:4" x14ac:dyDescent="0.35">
      <c r="B290" t="str">
        <v>BR925</v>
      </c>
      <c r="C290">
        <f>COUNTIF(fin_table[],B290)</f>
        <v>2</v>
      </c>
      <c r="D290" s="5">
        <f>SUMIF(fin_table[Branch Code],B290,fin_table[Loan Amount])</f>
        <v>45029.595000000001</v>
      </c>
    </row>
    <row r="291" spans="2:4" x14ac:dyDescent="0.35">
      <c r="B291" t="str">
        <v>BR781</v>
      </c>
      <c r="C291">
        <f>COUNTIF(fin_table[],B291)</f>
        <v>1</v>
      </c>
      <c r="D291" s="5">
        <f>SUMIF(fin_table[Branch Code],B291,fin_table[Loan Amount])</f>
        <v>49971.42</v>
      </c>
    </row>
    <row r="292" spans="2:4" x14ac:dyDescent="0.35">
      <c r="B292" t="str">
        <v>BR285</v>
      </c>
      <c r="C292">
        <f>COUNTIF(fin_table[],B292)</f>
        <v>2</v>
      </c>
      <c r="D292" s="5">
        <f>SUMIF(fin_table[Branch Code],B292,fin_table[Loan Amount])</f>
        <v>60617.235000000001</v>
      </c>
    </row>
    <row r="293" spans="2:4" x14ac:dyDescent="0.35">
      <c r="B293" t="str">
        <v>BR309</v>
      </c>
      <c r="C293">
        <f>COUNTIF(fin_table[],B293)</f>
        <v>3</v>
      </c>
      <c r="D293" s="5">
        <f>SUMIF(fin_table[Branch Code],B293,fin_table[Loan Amount])</f>
        <v>106018.92000000001</v>
      </c>
    </row>
    <row r="294" spans="2:4" x14ac:dyDescent="0.35">
      <c r="B294" t="str">
        <v>BR118</v>
      </c>
      <c r="C294">
        <f>COUNTIF(fin_table[],B294)</f>
        <v>1</v>
      </c>
      <c r="D294" s="5">
        <f>SUMIF(fin_table[Branch Code],B294,fin_table[Loan Amount])</f>
        <v>11486.1</v>
      </c>
    </row>
    <row r="295" spans="2:4" x14ac:dyDescent="0.35">
      <c r="B295" t="str">
        <v>BR811</v>
      </c>
      <c r="C295">
        <f>COUNTIF(fin_table[],B295)</f>
        <v>2</v>
      </c>
      <c r="D295" s="5">
        <f>SUMIF(fin_table[Branch Code],B295,fin_table[Loan Amount])</f>
        <v>73339.985000000001</v>
      </c>
    </row>
    <row r="296" spans="2:4" x14ac:dyDescent="0.35">
      <c r="B296" t="str">
        <v>BR831</v>
      </c>
      <c r="C296">
        <f>COUNTIF(fin_table[],B296)</f>
        <v>1</v>
      </c>
      <c r="D296" s="5">
        <f>SUMIF(fin_table[Branch Code],B296,fin_table[Loan Amount])</f>
        <v>46897.66</v>
      </c>
    </row>
    <row r="297" spans="2:4" x14ac:dyDescent="0.35">
      <c r="B297" t="str">
        <v>BR235</v>
      </c>
      <c r="C297">
        <f>COUNTIF(fin_table[],B297)</f>
        <v>1</v>
      </c>
      <c r="D297" s="5">
        <f>SUMIF(fin_table[Branch Code],B297,fin_table[Loan Amount])</f>
        <v>26681.654999999999</v>
      </c>
    </row>
    <row r="298" spans="2:4" x14ac:dyDescent="0.35">
      <c r="B298" t="str">
        <v>BR322</v>
      </c>
      <c r="C298">
        <f>COUNTIF(fin_table[],B298)</f>
        <v>1</v>
      </c>
      <c r="D298" s="5">
        <f>SUMIF(fin_table[Branch Code],B298,fin_table[Loan Amount])</f>
        <v>26681.654999999999</v>
      </c>
    </row>
    <row r="299" spans="2:4" x14ac:dyDescent="0.35">
      <c r="B299" t="str">
        <v>BR102</v>
      </c>
      <c r="C299">
        <f>COUNTIF(fin_table[],B299)</f>
        <v>2</v>
      </c>
      <c r="D299" s="5">
        <f>SUMIF(fin_table[Branch Code],B299,fin_table[Loan Amount])</f>
        <v>38612.384999999995</v>
      </c>
    </row>
    <row r="300" spans="2:4" x14ac:dyDescent="0.35">
      <c r="B300" t="str">
        <v>BR953</v>
      </c>
      <c r="C300">
        <f>COUNTIF(fin_table[],B300)</f>
        <v>1</v>
      </c>
      <c r="D300" s="5">
        <f>SUMIF(fin_table[Branch Code],B300,fin_table[Loan Amount])</f>
        <v>16493.47</v>
      </c>
    </row>
    <row r="301" spans="2:4" x14ac:dyDescent="0.35">
      <c r="B301" t="str">
        <v>BR564</v>
      </c>
      <c r="C301">
        <f>COUNTIF(fin_table[],B301)</f>
        <v>1</v>
      </c>
      <c r="D301" s="5">
        <f>SUMIF(fin_table[Branch Code],B301,fin_table[Loan Amount])</f>
        <v>32608.75</v>
      </c>
    </row>
    <row r="302" spans="2:4" x14ac:dyDescent="0.35">
      <c r="B302" t="str">
        <v>BR327</v>
      </c>
      <c r="C302">
        <f>COUNTIF(fin_table[],B302)</f>
        <v>1</v>
      </c>
      <c r="D302" s="5">
        <f>SUMIF(fin_table[Branch Code],B302,fin_table[Loan Amount])</f>
        <v>26681.654999999999</v>
      </c>
    </row>
    <row r="303" spans="2:4" x14ac:dyDescent="0.35">
      <c r="B303" t="str">
        <v>BR753</v>
      </c>
      <c r="C303">
        <f>COUNTIF(fin_table[],B303)</f>
        <v>1</v>
      </c>
      <c r="D303" s="5">
        <f>SUMIF(fin_table[Branch Code],B303,fin_table[Loan Amount])</f>
        <v>26681.654999999999</v>
      </c>
    </row>
    <row r="304" spans="2:4" x14ac:dyDescent="0.35">
      <c r="B304" t="str">
        <v>BR598</v>
      </c>
      <c r="C304">
        <f>COUNTIF(fin_table[],B304)</f>
        <v>1</v>
      </c>
      <c r="D304" s="5">
        <f>SUMIF(fin_table[Branch Code],B304,fin_table[Loan Amount])</f>
        <v>5046</v>
      </c>
    </row>
    <row r="305" spans="2:4" x14ac:dyDescent="0.35">
      <c r="B305" t="str">
        <v>BR620</v>
      </c>
      <c r="C305">
        <f>COUNTIF(fin_table[],B305)</f>
        <v>2</v>
      </c>
      <c r="D305" s="5">
        <f>SUMIF(fin_table[Branch Code],B305,fin_table[Loan Amount])</f>
        <v>51261.81</v>
      </c>
    </row>
    <row r="306" spans="2:4" x14ac:dyDescent="0.35">
      <c r="B306" t="str">
        <v>BR801</v>
      </c>
      <c r="C306">
        <f>COUNTIF(fin_table[],B306)</f>
        <v>4</v>
      </c>
      <c r="D306" s="5">
        <f>SUMIF(fin_table[Branch Code],B306,fin_table[Loan Amount])</f>
        <v>96364.514999999999</v>
      </c>
    </row>
    <row r="307" spans="2:4" x14ac:dyDescent="0.35">
      <c r="B307" t="str">
        <v>BR776</v>
      </c>
      <c r="C307">
        <f>COUNTIF(fin_table[],B307)</f>
        <v>2</v>
      </c>
      <c r="D307" s="5">
        <f>SUMIF(fin_table[Branch Code],B307,fin_table[Loan Amount])</f>
        <v>31048.639999999999</v>
      </c>
    </row>
    <row r="308" spans="2:4" x14ac:dyDescent="0.35">
      <c r="B308" t="str">
        <v>BR390</v>
      </c>
      <c r="C308">
        <f>COUNTIF(fin_table[],B308)</f>
        <v>1</v>
      </c>
      <c r="D308" s="5">
        <f>SUMIF(fin_table[Branch Code],B308,fin_table[Loan Amount])</f>
        <v>11518.38</v>
      </c>
    </row>
    <row r="309" spans="2:4" x14ac:dyDescent="0.35">
      <c r="B309" t="str">
        <v>BR786</v>
      </c>
      <c r="C309">
        <f>COUNTIF(fin_table[],B309)</f>
        <v>1</v>
      </c>
      <c r="D309" s="5">
        <f>SUMIF(fin_table[Branch Code],B309,fin_table[Loan Amount])</f>
        <v>12569.61</v>
      </c>
    </row>
    <row r="310" spans="2:4" x14ac:dyDescent="0.35">
      <c r="B310" t="str">
        <v>BR814</v>
      </c>
      <c r="C310">
        <f>COUNTIF(fin_table[],B310)</f>
        <v>1</v>
      </c>
      <c r="D310" s="5">
        <f>SUMIF(fin_table[Branch Code],B310,fin_table[Loan Amount])</f>
        <v>26681.654999999999</v>
      </c>
    </row>
    <row r="311" spans="2:4" x14ac:dyDescent="0.35">
      <c r="B311" t="str">
        <v>BR747</v>
      </c>
      <c r="C311">
        <f>COUNTIF(fin_table[],B311)</f>
        <v>1</v>
      </c>
      <c r="D311" s="5">
        <f>SUMIF(fin_table[Branch Code],B311,fin_table[Loan Amount])</f>
        <v>26681.654999999999</v>
      </c>
    </row>
    <row r="312" spans="2:4" x14ac:dyDescent="0.35">
      <c r="B312" t="str">
        <v>BR103</v>
      </c>
      <c r="C312">
        <f>COUNTIF(fin_table[],B312)</f>
        <v>1</v>
      </c>
      <c r="D312" s="5">
        <f>SUMIF(fin_table[Branch Code],B312,fin_table[Loan Amount])</f>
        <v>5756.33</v>
      </c>
    </row>
    <row r="313" spans="2:4" x14ac:dyDescent="0.35">
      <c r="B313" t="str">
        <v>BR766</v>
      </c>
      <c r="C313">
        <f>COUNTIF(fin_table[],B313)</f>
        <v>2</v>
      </c>
      <c r="D313" s="5">
        <f>SUMIF(fin_table[Branch Code],B313,fin_table[Loan Amount])</f>
        <v>53363.31</v>
      </c>
    </row>
    <row r="314" spans="2:4" x14ac:dyDescent="0.35">
      <c r="B314" t="str">
        <v>BR783</v>
      </c>
      <c r="C314">
        <f>COUNTIF(fin_table[],B314)</f>
        <v>1</v>
      </c>
      <c r="D314" s="5">
        <f>SUMIF(fin_table[Branch Code],B314,fin_table[Loan Amount])</f>
        <v>36321.56</v>
      </c>
    </row>
    <row r="315" spans="2:4" x14ac:dyDescent="0.35">
      <c r="B315" t="str">
        <v>BR969</v>
      </c>
      <c r="C315">
        <f>COUNTIF(fin_table[],B315)</f>
        <v>1</v>
      </c>
      <c r="D315" s="5">
        <f>SUMIF(fin_table[Branch Code],B315,fin_table[Loan Amount])</f>
        <v>26681.654999999999</v>
      </c>
    </row>
    <row r="316" spans="2:4" x14ac:dyDescent="0.35">
      <c r="B316" t="str">
        <v>BR193</v>
      </c>
      <c r="C316">
        <f>COUNTIF(fin_table[],B316)</f>
        <v>1</v>
      </c>
      <c r="D316" s="5">
        <f>SUMIF(fin_table[Branch Code],B316,fin_table[Loan Amount])</f>
        <v>26681.654999999999</v>
      </c>
    </row>
    <row r="317" spans="2:4" x14ac:dyDescent="0.35">
      <c r="B317" t="str">
        <v>BR851</v>
      </c>
      <c r="C317">
        <f>COUNTIF(fin_table[],B317)</f>
        <v>1</v>
      </c>
      <c r="D317" s="5">
        <f>SUMIF(fin_table[Branch Code],B317,fin_table[Loan Amount])</f>
        <v>24621.87</v>
      </c>
    </row>
    <row r="318" spans="2:4" x14ac:dyDescent="0.35">
      <c r="B318" t="str">
        <v>BR958</v>
      </c>
      <c r="C318">
        <f>COUNTIF(fin_table[],B318)</f>
        <v>1</v>
      </c>
      <c r="D318" s="5">
        <f>SUMIF(fin_table[Branch Code],B318,fin_table[Loan Amount])</f>
        <v>26681.654999999999</v>
      </c>
    </row>
    <row r="319" spans="2:4" x14ac:dyDescent="0.35">
      <c r="B319" t="str">
        <v>BR312</v>
      </c>
      <c r="C319">
        <f>COUNTIF(fin_table[],B319)</f>
        <v>1</v>
      </c>
      <c r="D319" s="5">
        <f>SUMIF(fin_table[Branch Code],B319,fin_table[Loan Amount])</f>
        <v>42824.9</v>
      </c>
    </row>
    <row r="320" spans="2:4" x14ac:dyDescent="0.35">
      <c r="B320" t="str">
        <v>BR535</v>
      </c>
      <c r="C320">
        <f>COUNTIF(fin_table[],B320)</f>
        <v>2</v>
      </c>
      <c r="D320" s="5">
        <f>SUMIF(fin_table[Branch Code],B320,fin_table[Loan Amount])</f>
        <v>53363.31</v>
      </c>
    </row>
    <row r="321" spans="2:4" x14ac:dyDescent="0.35">
      <c r="B321" t="str">
        <v>BR607</v>
      </c>
      <c r="C321">
        <f>COUNTIF(fin_table[],B321)</f>
        <v>1</v>
      </c>
      <c r="D321" s="5">
        <f>SUMIF(fin_table[Branch Code],B321,fin_table[Loan Amount])</f>
        <v>25779.67</v>
      </c>
    </row>
    <row r="322" spans="2:4" x14ac:dyDescent="0.35">
      <c r="B322" t="str">
        <v>BR935</v>
      </c>
      <c r="C322">
        <f>COUNTIF(fin_table[],B322)</f>
        <v>2</v>
      </c>
      <c r="D322" s="5">
        <f>SUMIF(fin_table[Branch Code],B322,fin_table[Loan Amount])</f>
        <v>72647.244999999995</v>
      </c>
    </row>
    <row r="323" spans="2:4" x14ac:dyDescent="0.35">
      <c r="B323" t="str">
        <v>BR304</v>
      </c>
      <c r="C323">
        <f>COUNTIF(fin_table[],B323)</f>
        <v>2</v>
      </c>
      <c r="D323" s="5">
        <f>SUMIF(fin_table[Branch Code],B323,fin_table[Loan Amount])</f>
        <v>53363.31</v>
      </c>
    </row>
    <row r="324" spans="2:4" x14ac:dyDescent="0.35">
      <c r="B324" t="str">
        <v>BR172</v>
      </c>
      <c r="C324">
        <f>COUNTIF(fin_table[],B324)</f>
        <v>4</v>
      </c>
      <c r="D324" s="5">
        <f>SUMIF(fin_table[Branch Code],B324,fin_table[Loan Amount])</f>
        <v>118106.825</v>
      </c>
    </row>
    <row r="325" spans="2:4" x14ac:dyDescent="0.35">
      <c r="B325" t="str">
        <v>BR615</v>
      </c>
      <c r="C325">
        <f>COUNTIF(fin_table[],B325)</f>
        <v>2</v>
      </c>
      <c r="D325" s="5">
        <f>SUMIF(fin_table[Branch Code],B325,fin_table[Loan Amount])</f>
        <v>60985.305</v>
      </c>
    </row>
    <row r="326" spans="2:4" x14ac:dyDescent="0.35">
      <c r="B326" t="str">
        <v>BR175</v>
      </c>
      <c r="C326">
        <f>COUNTIF(fin_table[],B326)</f>
        <v>3</v>
      </c>
      <c r="D326" s="5">
        <f>SUMIF(fin_table[Branch Code],B326,fin_table[Loan Amount])</f>
        <v>69993.790000000008</v>
      </c>
    </row>
    <row r="327" spans="2:4" x14ac:dyDescent="0.35">
      <c r="B327" t="str">
        <v>BR940</v>
      </c>
      <c r="C327">
        <f>COUNTIF(fin_table[],B327)</f>
        <v>1</v>
      </c>
      <c r="D327" s="5">
        <f>SUMIF(fin_table[Branch Code],B327,fin_table[Loan Amount])</f>
        <v>23661.42</v>
      </c>
    </row>
    <row r="328" spans="2:4" x14ac:dyDescent="0.35">
      <c r="B328" t="str">
        <v>BR176</v>
      </c>
      <c r="C328">
        <f>COUNTIF(fin_table[],B328)</f>
        <v>3</v>
      </c>
      <c r="D328" s="5">
        <f>SUMIF(fin_table[Branch Code],B328,fin_table[Loan Amount])</f>
        <v>80044.964999999997</v>
      </c>
    </row>
    <row r="329" spans="2:4" x14ac:dyDescent="0.35">
      <c r="B329" t="str">
        <v>BR915</v>
      </c>
      <c r="C329">
        <f>COUNTIF(fin_table[],B329)</f>
        <v>1</v>
      </c>
      <c r="D329" s="5">
        <f>SUMIF(fin_table[Branch Code],B329,fin_table[Loan Amount])</f>
        <v>26681.654999999999</v>
      </c>
    </row>
    <row r="330" spans="2:4" x14ac:dyDescent="0.35">
      <c r="B330" t="str">
        <v>BR867</v>
      </c>
      <c r="C330">
        <f>COUNTIF(fin_table[],B330)</f>
        <v>1</v>
      </c>
      <c r="D330" s="5">
        <f>SUMIF(fin_table[Branch Code],B330,fin_table[Loan Amount])</f>
        <v>9667.86</v>
      </c>
    </row>
    <row r="331" spans="2:4" x14ac:dyDescent="0.35">
      <c r="B331" t="str">
        <v>BR509</v>
      </c>
      <c r="C331">
        <f>COUNTIF(fin_table[],B331)</f>
        <v>1</v>
      </c>
      <c r="D331" s="5">
        <f>SUMIF(fin_table[Branch Code],B331,fin_table[Loan Amount])</f>
        <v>42615.93</v>
      </c>
    </row>
    <row r="332" spans="2:4" x14ac:dyDescent="0.35">
      <c r="B332" t="str">
        <v>BR713</v>
      </c>
      <c r="C332">
        <f>COUNTIF(fin_table[],B332)</f>
        <v>2</v>
      </c>
      <c r="D332" s="5">
        <f>SUMIF(fin_table[Branch Code],B332,fin_table[Loan Amount])</f>
        <v>58031.32</v>
      </c>
    </row>
    <row r="333" spans="2:4" x14ac:dyDescent="0.35">
      <c r="B333" t="str">
        <v>BR944</v>
      </c>
      <c r="C333">
        <f>COUNTIF(fin_table[],B333)</f>
        <v>1</v>
      </c>
      <c r="D333" s="5">
        <f>SUMIF(fin_table[Branch Code],B333,fin_table[Loan Amount])</f>
        <v>26681.654999999999</v>
      </c>
    </row>
    <row r="334" spans="2:4" x14ac:dyDescent="0.35">
      <c r="B334" t="str">
        <v>BR650</v>
      </c>
      <c r="C334">
        <f>COUNTIF(fin_table[],B334)</f>
        <v>1</v>
      </c>
      <c r="D334" s="5">
        <f>SUMIF(fin_table[Branch Code],B334,fin_table[Loan Amount])</f>
        <v>6151.05</v>
      </c>
    </row>
    <row r="335" spans="2:4" x14ac:dyDescent="0.35">
      <c r="B335" t="str">
        <v>BR575</v>
      </c>
      <c r="C335">
        <f>COUNTIF(fin_table[],B335)</f>
        <v>1</v>
      </c>
      <c r="D335" s="5">
        <f>SUMIF(fin_table[Branch Code],B335,fin_table[Loan Amount])</f>
        <v>26681.654999999999</v>
      </c>
    </row>
    <row r="336" spans="2:4" x14ac:dyDescent="0.35">
      <c r="B336" t="str">
        <v>BR187</v>
      </c>
      <c r="C336">
        <f>COUNTIF(fin_table[],B336)</f>
        <v>2</v>
      </c>
      <c r="D336" s="5">
        <f>SUMIF(fin_table[Branch Code],B336,fin_table[Loan Amount])</f>
        <v>45352.974999999999</v>
      </c>
    </row>
    <row r="337" spans="2:4" x14ac:dyDescent="0.35">
      <c r="B337" t="str">
        <v>BR980</v>
      </c>
      <c r="C337">
        <f>COUNTIF(fin_table[],B337)</f>
        <v>2</v>
      </c>
      <c r="D337" s="5">
        <f>SUMIF(fin_table[Branch Code],B337,fin_table[Loan Amount])</f>
        <v>33058.904999999999</v>
      </c>
    </row>
    <row r="338" spans="2:4" x14ac:dyDescent="0.35">
      <c r="B338" t="str">
        <v>BR344</v>
      </c>
      <c r="C338">
        <f>COUNTIF(fin_table[],B338)</f>
        <v>1</v>
      </c>
      <c r="D338" s="5">
        <f>SUMIF(fin_table[Branch Code],B338,fin_table[Loan Amount])</f>
        <v>26681.654999999999</v>
      </c>
    </row>
    <row r="339" spans="2:4" x14ac:dyDescent="0.35">
      <c r="B339" t="str">
        <v>BR877</v>
      </c>
      <c r="C339">
        <f>COUNTIF(fin_table[],B339)</f>
        <v>2</v>
      </c>
      <c r="D339" s="5">
        <f>SUMIF(fin_table[Branch Code],B339,fin_table[Loan Amount])</f>
        <v>34477.315000000002</v>
      </c>
    </row>
    <row r="340" spans="2:4" x14ac:dyDescent="0.35">
      <c r="B340" t="str">
        <v>BR836</v>
      </c>
      <c r="C340">
        <f>COUNTIF(fin_table[],B340)</f>
        <v>3</v>
      </c>
      <c r="D340" s="5">
        <f>SUMIF(fin_table[Branch Code],B340,fin_table[Loan Amount])</f>
        <v>92224.6</v>
      </c>
    </row>
    <row r="341" spans="2:4" x14ac:dyDescent="0.35">
      <c r="B341" t="str">
        <v>BR241</v>
      </c>
      <c r="C341">
        <f>COUNTIF(fin_table[],B341)</f>
        <v>1</v>
      </c>
      <c r="D341" s="5">
        <f>SUMIF(fin_table[Branch Code],B341,fin_table[Loan Amount])</f>
        <v>16391.849999999999</v>
      </c>
    </row>
    <row r="342" spans="2:4" x14ac:dyDescent="0.35">
      <c r="B342" t="str">
        <v>BR467</v>
      </c>
      <c r="C342">
        <f>COUNTIF(fin_table[],B342)</f>
        <v>1</v>
      </c>
      <c r="D342" s="5">
        <f>SUMIF(fin_table[Branch Code],B342,fin_table[Loan Amount])</f>
        <v>26681.654999999999</v>
      </c>
    </row>
    <row r="343" spans="2:4" x14ac:dyDescent="0.35">
      <c r="B343" t="str">
        <v>BR183</v>
      </c>
      <c r="C343">
        <f>COUNTIF(fin_table[],B343)</f>
        <v>1</v>
      </c>
      <c r="D343" s="5">
        <f>SUMIF(fin_table[Branch Code],B343,fin_table[Loan Amount])</f>
        <v>26681.654999999999</v>
      </c>
    </row>
    <row r="344" spans="2:4" x14ac:dyDescent="0.35">
      <c r="B344" t="str">
        <v>BR242</v>
      </c>
      <c r="C344">
        <f>COUNTIF(fin_table[],B344)</f>
        <v>1</v>
      </c>
      <c r="D344" s="5">
        <f>SUMIF(fin_table[Branch Code],B344,fin_table[Loan Amount])</f>
        <v>26681.654999999999</v>
      </c>
    </row>
    <row r="345" spans="2:4" x14ac:dyDescent="0.35">
      <c r="B345" t="str">
        <v>BR451</v>
      </c>
      <c r="C345">
        <f>COUNTIF(fin_table[],B345)</f>
        <v>2</v>
      </c>
      <c r="D345" s="5">
        <f>SUMIF(fin_table[Branch Code],B345,fin_table[Loan Amount])</f>
        <v>53363.31</v>
      </c>
    </row>
    <row r="346" spans="2:4" x14ac:dyDescent="0.35">
      <c r="B346" t="str">
        <v>BR251</v>
      </c>
      <c r="C346">
        <f>COUNTIF(fin_table[],B346)</f>
        <v>2</v>
      </c>
      <c r="D346" s="5">
        <f>SUMIF(fin_table[Branch Code],B346,fin_table[Loan Amount])</f>
        <v>56559.024999999994</v>
      </c>
    </row>
    <row r="347" spans="2:4" x14ac:dyDescent="0.35">
      <c r="B347" t="str">
        <v>BR257</v>
      </c>
      <c r="C347">
        <f>COUNTIF(fin_table[],B347)</f>
        <v>3</v>
      </c>
      <c r="D347" s="5">
        <f>SUMIF(fin_table[Branch Code],B347,fin_table[Loan Amount])</f>
        <v>101499.67499999999</v>
      </c>
    </row>
    <row r="348" spans="2:4" x14ac:dyDescent="0.35">
      <c r="B348" t="str">
        <v>BR752</v>
      </c>
      <c r="C348">
        <f>COUNTIF(fin_table[],B348)</f>
        <v>2</v>
      </c>
      <c r="D348" s="5">
        <f>SUMIF(fin_table[Branch Code],B348,fin_table[Loan Amount])</f>
        <v>74038.274999999994</v>
      </c>
    </row>
    <row r="349" spans="2:4" x14ac:dyDescent="0.35">
      <c r="B349" t="str">
        <v>BR862</v>
      </c>
      <c r="C349">
        <f>COUNTIF(fin_table[],B349)</f>
        <v>2</v>
      </c>
      <c r="D349" s="5">
        <f>SUMIF(fin_table[Branch Code],B349,fin_table[Loan Amount])</f>
        <v>44515.979999999996</v>
      </c>
    </row>
    <row r="350" spans="2:4" x14ac:dyDescent="0.35">
      <c r="B350" t="str">
        <v>BR402</v>
      </c>
      <c r="C350">
        <f>COUNTIF(fin_table[],B350)</f>
        <v>1</v>
      </c>
      <c r="D350" s="5">
        <f>SUMIF(fin_table[Branch Code],B350,fin_table[Loan Amount])</f>
        <v>49645.69</v>
      </c>
    </row>
    <row r="351" spans="2:4" x14ac:dyDescent="0.35">
      <c r="B351" t="str">
        <v>BR723</v>
      </c>
      <c r="C351">
        <f>COUNTIF(fin_table[],B351)</f>
        <v>1</v>
      </c>
      <c r="D351" s="5">
        <f>SUMIF(fin_table[Branch Code],B351,fin_table[Loan Amount])</f>
        <v>26681.654999999999</v>
      </c>
    </row>
    <row r="352" spans="2:4" x14ac:dyDescent="0.35">
      <c r="B352" t="str">
        <v>BR755</v>
      </c>
      <c r="C352">
        <f>COUNTIF(fin_table[],B352)</f>
        <v>1</v>
      </c>
      <c r="D352" s="5">
        <f>SUMIF(fin_table[Branch Code],B352,fin_table[Loan Amount])</f>
        <v>10695.3</v>
      </c>
    </row>
    <row r="353" spans="2:4" x14ac:dyDescent="0.35">
      <c r="B353" t="str">
        <v>BR820</v>
      </c>
      <c r="C353">
        <f>COUNTIF(fin_table[],B353)</f>
        <v>1</v>
      </c>
      <c r="D353" s="5">
        <f>SUMIF(fin_table[Branch Code],B353,fin_table[Loan Amount])</f>
        <v>26681.654999999999</v>
      </c>
    </row>
    <row r="354" spans="2:4" x14ac:dyDescent="0.35">
      <c r="B354" t="str">
        <v>BR323</v>
      </c>
      <c r="C354">
        <f>COUNTIF(fin_table[],B354)</f>
        <v>1</v>
      </c>
      <c r="D354" s="5">
        <f>SUMIF(fin_table[Branch Code],B354,fin_table[Loan Amount])</f>
        <v>25045.64</v>
      </c>
    </row>
    <row r="355" spans="2:4" x14ac:dyDescent="0.35">
      <c r="B355" t="str">
        <v>BR363</v>
      </c>
      <c r="C355">
        <f>COUNTIF(fin_table[],B355)</f>
        <v>1</v>
      </c>
      <c r="D355" s="5">
        <f>SUMIF(fin_table[Branch Code],B355,fin_table[Loan Amount])</f>
        <v>26681.654999999999</v>
      </c>
    </row>
    <row r="356" spans="2:4" x14ac:dyDescent="0.35">
      <c r="B356" t="str">
        <v>BR855</v>
      </c>
      <c r="C356">
        <f>COUNTIF(fin_table[],B356)</f>
        <v>1</v>
      </c>
      <c r="D356" s="5">
        <f>SUMIF(fin_table[Branch Code],B356,fin_table[Loan Amount])</f>
        <v>26681.654999999999</v>
      </c>
    </row>
    <row r="357" spans="2:4" x14ac:dyDescent="0.35">
      <c r="B357" t="str">
        <v>BR367</v>
      </c>
      <c r="C357">
        <f>COUNTIF(fin_table[],B357)</f>
        <v>2</v>
      </c>
      <c r="D357" s="5">
        <f>SUMIF(fin_table[Branch Code],B357,fin_table[Loan Amount])</f>
        <v>73290.174999999988</v>
      </c>
    </row>
    <row r="358" spans="2:4" x14ac:dyDescent="0.35">
      <c r="B358" t="str">
        <v>BR695</v>
      </c>
      <c r="C358">
        <f>COUNTIF(fin_table[],B358)</f>
        <v>1</v>
      </c>
      <c r="D358" s="5">
        <f>SUMIF(fin_table[Branch Code],B358,fin_table[Loan Amount])</f>
        <v>26681.654999999999</v>
      </c>
    </row>
    <row r="359" spans="2:4" x14ac:dyDescent="0.35">
      <c r="B359" t="str">
        <v>BR115</v>
      </c>
      <c r="C359">
        <f>COUNTIF(fin_table[],B359)</f>
        <v>1</v>
      </c>
      <c r="D359" s="5">
        <f>SUMIF(fin_table[Branch Code],B359,fin_table[Loan Amount])</f>
        <v>40806.800000000003</v>
      </c>
    </row>
    <row r="360" spans="2:4" x14ac:dyDescent="0.35">
      <c r="B360" t="str">
        <v>BR433</v>
      </c>
      <c r="C360">
        <f>COUNTIF(fin_table[],B360)</f>
        <v>2</v>
      </c>
      <c r="D360" s="5">
        <f>SUMIF(fin_table[Branch Code],B360,fin_table[Loan Amount])</f>
        <v>65826.464999999997</v>
      </c>
    </row>
    <row r="361" spans="2:4" x14ac:dyDescent="0.35">
      <c r="B361" t="str">
        <v>BR158</v>
      </c>
      <c r="C361">
        <f>COUNTIF(fin_table[],B361)</f>
        <v>1</v>
      </c>
      <c r="D361" s="5">
        <f>SUMIF(fin_table[Branch Code],B361,fin_table[Loan Amount])</f>
        <v>48180.77</v>
      </c>
    </row>
    <row r="362" spans="2:4" x14ac:dyDescent="0.35">
      <c r="B362" t="str">
        <v>BR276</v>
      </c>
      <c r="C362">
        <f>COUNTIF(fin_table[],B362)</f>
        <v>1</v>
      </c>
      <c r="D362" s="5">
        <f>SUMIF(fin_table[Branch Code],B362,fin_table[Loan Amount])</f>
        <v>31645.55</v>
      </c>
    </row>
    <row r="363" spans="2:4" x14ac:dyDescent="0.35">
      <c r="B363" t="str">
        <v>BR162</v>
      </c>
      <c r="C363">
        <f>COUNTIF(fin_table[],B363)</f>
        <v>1</v>
      </c>
      <c r="D363" s="5">
        <f>SUMIF(fin_table[Branch Code],B363,fin_table[Loan Amount])</f>
        <v>41878.31</v>
      </c>
    </row>
    <row r="364" spans="2:4" x14ac:dyDescent="0.35">
      <c r="B364" t="str">
        <v>BR406</v>
      </c>
      <c r="C364">
        <f>COUNTIF(fin_table[],B364)</f>
        <v>1</v>
      </c>
      <c r="D364" s="5">
        <f>SUMIF(fin_table[Branch Code],B364,fin_table[Loan Amount])</f>
        <v>7988.47</v>
      </c>
    </row>
    <row r="365" spans="2:4" x14ac:dyDescent="0.35">
      <c r="B365" t="str">
        <v>BR345</v>
      </c>
      <c r="C365">
        <f>COUNTIF(fin_table[],B365)</f>
        <v>3</v>
      </c>
      <c r="D365" s="5">
        <f>SUMIF(fin_table[Branch Code],B365,fin_table[Loan Amount])</f>
        <v>67987.114999999991</v>
      </c>
    </row>
    <row r="366" spans="2:4" x14ac:dyDescent="0.35">
      <c r="B366" t="str">
        <v>BR388</v>
      </c>
      <c r="C366">
        <f>COUNTIF(fin_table[],B366)</f>
        <v>2</v>
      </c>
      <c r="D366" s="5">
        <f>SUMIF(fin_table[Branch Code],B366,fin_table[Loan Amount])</f>
        <v>53363.31</v>
      </c>
    </row>
    <row r="367" spans="2:4" x14ac:dyDescent="0.35">
      <c r="B367" t="str">
        <v>BR431</v>
      </c>
      <c r="C367">
        <f>COUNTIF(fin_table[],B367)</f>
        <v>2</v>
      </c>
      <c r="D367" s="5">
        <f>SUMIF(fin_table[Branch Code],B367,fin_table[Loan Amount])</f>
        <v>54505.834999999999</v>
      </c>
    </row>
    <row r="368" spans="2:4" x14ac:dyDescent="0.35">
      <c r="B368" t="str">
        <v>BR354</v>
      </c>
      <c r="C368">
        <f>COUNTIF(fin_table[],B368)</f>
        <v>1</v>
      </c>
      <c r="D368" s="5">
        <f>SUMIF(fin_table[Branch Code],B368,fin_table[Loan Amount])</f>
        <v>26681.654999999999</v>
      </c>
    </row>
    <row r="369" spans="2:4" x14ac:dyDescent="0.35">
      <c r="B369" t="str">
        <v>BR703</v>
      </c>
      <c r="C369">
        <f>COUNTIF(fin_table[],B369)</f>
        <v>2</v>
      </c>
      <c r="D369" s="5">
        <f>SUMIF(fin_table[Branch Code],B369,fin_table[Loan Amount])</f>
        <v>34102.089999999997</v>
      </c>
    </row>
    <row r="370" spans="2:4" x14ac:dyDescent="0.35">
      <c r="B370" t="str">
        <v>BR609</v>
      </c>
      <c r="C370">
        <f>COUNTIF(fin_table[],B370)</f>
        <v>2</v>
      </c>
      <c r="D370" s="5">
        <f>SUMIF(fin_table[Branch Code],B370,fin_table[Loan Amount])</f>
        <v>53363.31</v>
      </c>
    </row>
    <row r="371" spans="2:4" x14ac:dyDescent="0.35">
      <c r="B371" t="str">
        <v>BR890</v>
      </c>
      <c r="C371">
        <f>COUNTIF(fin_table[],B371)</f>
        <v>2</v>
      </c>
      <c r="D371" s="5">
        <f>SUMIF(fin_table[Branch Code],B371,fin_table[Loan Amount])</f>
        <v>52740.994999999995</v>
      </c>
    </row>
    <row r="372" spans="2:4" x14ac:dyDescent="0.35">
      <c r="B372" t="str">
        <v>BR817</v>
      </c>
      <c r="C372">
        <f>COUNTIF(fin_table[],B372)</f>
        <v>2</v>
      </c>
      <c r="D372" s="5">
        <f>SUMIF(fin_table[Branch Code],B372,fin_table[Loan Amount])</f>
        <v>66218.964999999997</v>
      </c>
    </row>
    <row r="373" spans="2:4" x14ac:dyDescent="0.35">
      <c r="B373" t="str">
        <v>BR705</v>
      </c>
      <c r="C373">
        <f>COUNTIF(fin_table[],B373)</f>
        <v>3</v>
      </c>
      <c r="D373" s="5">
        <f>SUMIF(fin_table[Branch Code],B373,fin_table[Loan Amount])</f>
        <v>68349.854999999996</v>
      </c>
    </row>
    <row r="374" spans="2:4" x14ac:dyDescent="0.35">
      <c r="B374" t="str">
        <v>BR912</v>
      </c>
      <c r="C374">
        <f>COUNTIF(fin_table[],B374)</f>
        <v>1</v>
      </c>
      <c r="D374" s="5">
        <f>SUMIF(fin_table[Branch Code],B374,fin_table[Loan Amount])</f>
        <v>22018.76</v>
      </c>
    </row>
    <row r="375" spans="2:4" x14ac:dyDescent="0.35">
      <c r="B375" t="str">
        <v>BR929</v>
      </c>
      <c r="C375">
        <f>COUNTIF(fin_table[],B375)</f>
        <v>1</v>
      </c>
      <c r="D375" s="5">
        <f>SUMIF(fin_table[Branch Code],B375,fin_table[Loan Amount])</f>
        <v>36951.32</v>
      </c>
    </row>
    <row r="376" spans="2:4" x14ac:dyDescent="0.35">
      <c r="B376" t="str">
        <v>BR562</v>
      </c>
      <c r="C376">
        <f>COUNTIF(fin_table[],B376)</f>
        <v>2</v>
      </c>
      <c r="D376" s="5">
        <f>SUMIF(fin_table[Branch Code],B376,fin_table[Loan Amount])</f>
        <v>32582.715</v>
      </c>
    </row>
    <row r="377" spans="2:4" x14ac:dyDescent="0.35">
      <c r="B377" t="str">
        <v>BR298</v>
      </c>
      <c r="C377">
        <f>COUNTIF(fin_table[],B377)</f>
        <v>2</v>
      </c>
      <c r="D377" s="5">
        <f>SUMIF(fin_table[Branch Code],B377,fin_table[Loan Amount])</f>
        <v>43099.464999999997</v>
      </c>
    </row>
    <row r="378" spans="2:4" x14ac:dyDescent="0.35">
      <c r="B378" t="str">
        <v>BR370</v>
      </c>
      <c r="C378">
        <f>COUNTIF(fin_table[],B378)</f>
        <v>3</v>
      </c>
      <c r="D378" s="5">
        <f>SUMIF(fin_table[Branch Code],B378,fin_table[Loan Amount])</f>
        <v>49643.399999999994</v>
      </c>
    </row>
    <row r="379" spans="2:4" x14ac:dyDescent="0.35">
      <c r="B379" t="str">
        <v>BR845</v>
      </c>
      <c r="C379">
        <f>COUNTIF(fin_table[],B379)</f>
        <v>2</v>
      </c>
      <c r="D379" s="5">
        <f>SUMIF(fin_table[Branch Code],B379,fin_table[Loan Amount])</f>
        <v>53363.31</v>
      </c>
    </row>
    <row r="380" spans="2:4" x14ac:dyDescent="0.35">
      <c r="B380" t="str">
        <v>BR163</v>
      </c>
      <c r="C380">
        <f>COUNTIF(fin_table[],B380)</f>
        <v>1</v>
      </c>
      <c r="D380" s="5">
        <f>SUMIF(fin_table[Branch Code],B380,fin_table[Loan Amount])</f>
        <v>26681.654999999999</v>
      </c>
    </row>
    <row r="381" spans="2:4" x14ac:dyDescent="0.35">
      <c r="B381" t="str">
        <v>BR348</v>
      </c>
      <c r="C381">
        <f>COUNTIF(fin_table[],B381)</f>
        <v>1</v>
      </c>
      <c r="D381" s="5">
        <f>SUMIF(fin_table[Branch Code],B381,fin_table[Loan Amount])</f>
        <v>26681.654999999999</v>
      </c>
    </row>
    <row r="382" spans="2:4" x14ac:dyDescent="0.35">
      <c r="B382" t="str">
        <v>BR686</v>
      </c>
      <c r="C382">
        <f>COUNTIF(fin_table[],B382)</f>
        <v>1</v>
      </c>
      <c r="D382" s="5">
        <f>SUMIF(fin_table[Branch Code],B382,fin_table[Loan Amount])</f>
        <v>26681.654999999999</v>
      </c>
    </row>
    <row r="383" spans="2:4" x14ac:dyDescent="0.35">
      <c r="B383" t="str">
        <v>BR256</v>
      </c>
      <c r="C383">
        <f>COUNTIF(fin_table[],B383)</f>
        <v>2</v>
      </c>
      <c r="D383" s="5">
        <f>SUMIF(fin_table[Branch Code],B383,fin_table[Loan Amount])</f>
        <v>41645.104999999996</v>
      </c>
    </row>
    <row r="384" spans="2:4" x14ac:dyDescent="0.35">
      <c r="B384" t="str">
        <v>BR663</v>
      </c>
      <c r="C384">
        <f>COUNTIF(fin_table[],B384)</f>
        <v>1</v>
      </c>
      <c r="D384" s="5">
        <f>SUMIF(fin_table[Branch Code],B384,fin_table[Loan Amount])</f>
        <v>20453.93</v>
      </c>
    </row>
    <row r="385" spans="2:4" x14ac:dyDescent="0.35">
      <c r="B385" t="str">
        <v>BR412</v>
      </c>
      <c r="C385">
        <f>COUNTIF(fin_table[],B385)</f>
        <v>2</v>
      </c>
      <c r="D385" s="5">
        <f>SUMIF(fin_table[Branch Code],B385,fin_table[Loan Amount])</f>
        <v>40321.294999999998</v>
      </c>
    </row>
    <row r="386" spans="2:4" x14ac:dyDescent="0.35">
      <c r="B386" t="str">
        <v>BR950</v>
      </c>
      <c r="C386">
        <f>COUNTIF(fin_table[],B386)</f>
        <v>2</v>
      </c>
      <c r="D386" s="5">
        <f>SUMIF(fin_table[Branch Code],B386,fin_table[Loan Amount])</f>
        <v>41801.034999999996</v>
      </c>
    </row>
    <row r="387" spans="2:4" x14ac:dyDescent="0.35">
      <c r="B387" t="str">
        <v>BR165</v>
      </c>
      <c r="C387">
        <f>COUNTIF(fin_table[],B387)</f>
        <v>1</v>
      </c>
      <c r="D387" s="5">
        <f>SUMIF(fin_table[Branch Code],B387,fin_table[Loan Amount])</f>
        <v>26681.654999999999</v>
      </c>
    </row>
    <row r="388" spans="2:4" x14ac:dyDescent="0.35">
      <c r="B388" t="str">
        <v>BR761</v>
      </c>
      <c r="C388">
        <f>COUNTIF(fin_table[],B388)</f>
        <v>2</v>
      </c>
      <c r="D388" s="5">
        <f>SUMIF(fin_table[Branch Code],B388,fin_table[Loan Amount])</f>
        <v>53363.31</v>
      </c>
    </row>
    <row r="389" spans="2:4" x14ac:dyDescent="0.35">
      <c r="B389" t="str">
        <v>BR132</v>
      </c>
      <c r="C389">
        <f>COUNTIF(fin_table[],B389)</f>
        <v>1</v>
      </c>
      <c r="D389" s="5">
        <f>SUMIF(fin_table[Branch Code],B389,fin_table[Loan Amount])</f>
        <v>26681.654999999999</v>
      </c>
    </row>
    <row r="390" spans="2:4" x14ac:dyDescent="0.35">
      <c r="B390" t="str">
        <v>BR939</v>
      </c>
      <c r="C390">
        <f>COUNTIF(fin_table[],B390)</f>
        <v>2</v>
      </c>
      <c r="D390" s="5">
        <f>SUMIF(fin_table[Branch Code],B390,fin_table[Loan Amount])</f>
        <v>53363.31</v>
      </c>
    </row>
    <row r="391" spans="2:4" x14ac:dyDescent="0.35">
      <c r="B391" t="str">
        <v>BR154</v>
      </c>
      <c r="C391">
        <f>COUNTIF(fin_table[],B391)</f>
        <v>1</v>
      </c>
      <c r="D391" s="5">
        <f>SUMIF(fin_table[Branch Code],B391,fin_table[Loan Amount])</f>
        <v>26681.654999999999</v>
      </c>
    </row>
    <row r="392" spans="2:4" x14ac:dyDescent="0.35">
      <c r="B392" t="str">
        <v>BR160</v>
      </c>
      <c r="C392">
        <f>COUNTIF(fin_table[],B392)</f>
        <v>1</v>
      </c>
      <c r="D392" s="5">
        <f>SUMIF(fin_table[Branch Code],B392,fin_table[Loan Amount])</f>
        <v>26681.654999999999</v>
      </c>
    </row>
    <row r="393" spans="2:4" x14ac:dyDescent="0.35">
      <c r="B393" t="str">
        <v>BR956</v>
      </c>
      <c r="C393">
        <f>COUNTIF(fin_table[],B393)</f>
        <v>1</v>
      </c>
      <c r="D393" s="5">
        <f>SUMIF(fin_table[Branch Code],B393,fin_table[Loan Amount])</f>
        <v>44502.45</v>
      </c>
    </row>
    <row r="394" spans="2:4" x14ac:dyDescent="0.35">
      <c r="B394" t="str">
        <v>BR371</v>
      </c>
      <c r="C394">
        <f>COUNTIF(fin_table[],B394)</f>
        <v>1</v>
      </c>
      <c r="D394" s="5">
        <f>SUMIF(fin_table[Branch Code],B394,fin_table[Loan Amount])</f>
        <v>26681.654999999999</v>
      </c>
    </row>
    <row r="395" spans="2:4" x14ac:dyDescent="0.35">
      <c r="B395" t="str">
        <v>BR727</v>
      </c>
      <c r="C395">
        <f>COUNTIF(fin_table[],B395)</f>
        <v>2</v>
      </c>
      <c r="D395" s="5">
        <f>SUMIF(fin_table[Branch Code],B395,fin_table[Loan Amount])</f>
        <v>53363.31</v>
      </c>
    </row>
    <row r="396" spans="2:4" x14ac:dyDescent="0.35">
      <c r="B396" t="str">
        <v>BR230</v>
      </c>
      <c r="C396">
        <f>COUNTIF(fin_table[],B396)</f>
        <v>2</v>
      </c>
      <c r="D396" s="5">
        <f>SUMIF(fin_table[Branch Code],B396,fin_table[Loan Amount])</f>
        <v>34233.364999999998</v>
      </c>
    </row>
    <row r="397" spans="2:4" x14ac:dyDescent="0.35">
      <c r="B397" t="str">
        <v>BR201</v>
      </c>
      <c r="C397">
        <f>COUNTIF(fin_table[],B397)</f>
        <v>1</v>
      </c>
      <c r="D397" s="5">
        <f>SUMIF(fin_table[Branch Code],B397,fin_table[Loan Amount])</f>
        <v>30371.15</v>
      </c>
    </row>
    <row r="398" spans="2:4" x14ac:dyDescent="0.35">
      <c r="B398" t="str">
        <v>BR881</v>
      </c>
      <c r="C398">
        <f>COUNTIF(fin_table[],B398)</f>
        <v>2</v>
      </c>
      <c r="D398" s="5">
        <f>SUMIF(fin_table[Branch Code],B398,fin_table[Loan Amount])</f>
        <v>74379.714999999997</v>
      </c>
    </row>
    <row r="399" spans="2:4" x14ac:dyDescent="0.35">
      <c r="B399" t="str">
        <v>BR391</v>
      </c>
      <c r="C399">
        <f>COUNTIF(fin_table[],B399)</f>
        <v>1</v>
      </c>
      <c r="D399" s="5">
        <f>SUMIF(fin_table[Branch Code],B399,fin_table[Loan Amount])</f>
        <v>26681.654999999999</v>
      </c>
    </row>
    <row r="400" spans="2:4" x14ac:dyDescent="0.35">
      <c r="B400" t="str">
        <v>BR821</v>
      </c>
      <c r="C400">
        <f>COUNTIF(fin_table[],B400)</f>
        <v>1</v>
      </c>
      <c r="D400" s="5">
        <f>SUMIF(fin_table[Branch Code],B400,fin_table[Loan Amount])</f>
        <v>19634.95</v>
      </c>
    </row>
    <row r="401" spans="2:4" x14ac:dyDescent="0.35">
      <c r="B401" t="str">
        <v>BR460</v>
      </c>
      <c r="C401">
        <f>COUNTIF(fin_table[],B401)</f>
        <v>1</v>
      </c>
      <c r="D401" s="5">
        <f>SUMIF(fin_table[Branch Code],B401,fin_table[Loan Amount])</f>
        <v>23780.66</v>
      </c>
    </row>
    <row r="402" spans="2:4" x14ac:dyDescent="0.35">
      <c r="B402" t="str">
        <v>BR437</v>
      </c>
      <c r="C402">
        <f>COUNTIF(fin_table[],B402)</f>
        <v>1</v>
      </c>
      <c r="D402" s="5">
        <f>SUMIF(fin_table[Branch Code],B402,fin_table[Loan Amount])</f>
        <v>26681.654999999999</v>
      </c>
    </row>
    <row r="403" spans="2:4" x14ac:dyDescent="0.35">
      <c r="B403" t="str">
        <v>BR678</v>
      </c>
      <c r="C403">
        <f>COUNTIF(fin_table[],B403)</f>
        <v>1</v>
      </c>
      <c r="D403" s="5">
        <f>SUMIF(fin_table[Branch Code],B403,fin_table[Loan Amount])</f>
        <v>26681.654999999999</v>
      </c>
    </row>
    <row r="404" spans="2:4" x14ac:dyDescent="0.35">
      <c r="B404" t="str">
        <v>BR109</v>
      </c>
      <c r="C404">
        <f>COUNTIF(fin_table[],B404)</f>
        <v>2</v>
      </c>
      <c r="D404" s="5">
        <f>SUMIF(fin_table[Branch Code],B404,fin_table[Loan Amount])</f>
        <v>35815.339999999997</v>
      </c>
    </row>
    <row r="405" spans="2:4" x14ac:dyDescent="0.35">
      <c r="B405" t="str">
        <v>BR148</v>
      </c>
      <c r="C405">
        <f>COUNTIF(fin_table[],B405)</f>
        <v>1</v>
      </c>
      <c r="D405" s="5">
        <f>SUMIF(fin_table[Branch Code],B405,fin_table[Loan Amount])</f>
        <v>34978.68</v>
      </c>
    </row>
    <row r="406" spans="2:4" x14ac:dyDescent="0.35">
      <c r="B406" t="str">
        <v>BR420</v>
      </c>
      <c r="C406">
        <f>COUNTIF(fin_table[],B406)</f>
        <v>2</v>
      </c>
      <c r="D406" s="5">
        <f>SUMIF(fin_table[Branch Code],B406,fin_table[Loan Amount])</f>
        <v>63638.67</v>
      </c>
    </row>
    <row r="407" spans="2:4" x14ac:dyDescent="0.35">
      <c r="B407" t="str">
        <v>BR830</v>
      </c>
      <c r="C407">
        <f>COUNTIF(fin_table[],B407)</f>
        <v>2</v>
      </c>
      <c r="D407" s="5">
        <f>SUMIF(fin_table[Branch Code],B407,fin_table[Loan Amount])</f>
        <v>67907.165000000008</v>
      </c>
    </row>
    <row r="408" spans="2:4" x14ac:dyDescent="0.35">
      <c r="B408" t="str">
        <v>BR668</v>
      </c>
      <c r="C408">
        <f>COUNTIF(fin_table[],B408)</f>
        <v>2</v>
      </c>
      <c r="D408" s="5">
        <f>SUMIF(fin_table[Branch Code],B408,fin_table[Loan Amount])</f>
        <v>76510.350000000006</v>
      </c>
    </row>
    <row r="409" spans="2:4" x14ac:dyDescent="0.35">
      <c r="B409" t="str">
        <v>BR894</v>
      </c>
      <c r="C409">
        <f>COUNTIF(fin_table[],B409)</f>
        <v>2</v>
      </c>
      <c r="D409" s="5">
        <f>SUMIF(fin_table[Branch Code],B409,fin_table[Loan Amount])</f>
        <v>53363.31</v>
      </c>
    </row>
    <row r="410" spans="2:4" x14ac:dyDescent="0.35">
      <c r="B410" t="str">
        <v>BR724</v>
      </c>
      <c r="C410">
        <f>COUNTIF(fin_table[],B410)</f>
        <v>2</v>
      </c>
      <c r="D410" s="5">
        <f>SUMIF(fin_table[Branch Code],B410,fin_table[Loan Amount])</f>
        <v>40515.599999999999</v>
      </c>
    </row>
    <row r="411" spans="2:4" x14ac:dyDescent="0.35">
      <c r="B411" t="str">
        <v>BR682</v>
      </c>
      <c r="C411">
        <f>COUNTIF(fin_table[],B411)</f>
        <v>1</v>
      </c>
      <c r="D411" s="5">
        <f>SUMIF(fin_table[Branch Code],B411,fin_table[Loan Amount])</f>
        <v>26681.654999999999</v>
      </c>
    </row>
    <row r="412" spans="2:4" x14ac:dyDescent="0.35">
      <c r="B412" t="str">
        <v>BR182</v>
      </c>
      <c r="C412">
        <f>COUNTIF(fin_table[],B412)</f>
        <v>2</v>
      </c>
      <c r="D412" s="5">
        <f>SUMIF(fin_table[Branch Code],B412,fin_table[Loan Amount])</f>
        <v>42941.08</v>
      </c>
    </row>
    <row r="413" spans="2:4" x14ac:dyDescent="0.35">
      <c r="B413" t="str">
        <v>BR156</v>
      </c>
      <c r="C413">
        <f>COUNTIF(fin_table[],B413)</f>
        <v>1</v>
      </c>
      <c r="D413" s="5">
        <f>SUMIF(fin_table[Branch Code],B413,fin_table[Loan Amount])</f>
        <v>26681.654999999999</v>
      </c>
    </row>
    <row r="414" spans="2:4" x14ac:dyDescent="0.35">
      <c r="B414" t="str">
        <v>BR475</v>
      </c>
      <c r="C414">
        <f>COUNTIF(fin_table[],B414)</f>
        <v>2</v>
      </c>
      <c r="D414" s="5">
        <f>SUMIF(fin_table[Branch Code],B414,fin_table[Loan Amount])</f>
        <v>53363.31</v>
      </c>
    </row>
    <row r="415" spans="2:4" x14ac:dyDescent="0.35">
      <c r="B415" t="str">
        <v>BR582</v>
      </c>
      <c r="C415">
        <f>COUNTIF(fin_table[],B415)</f>
        <v>2</v>
      </c>
      <c r="D415" s="5">
        <f>SUMIF(fin_table[Branch Code],B415,fin_table[Loan Amount])</f>
        <v>60613.58</v>
      </c>
    </row>
    <row r="416" spans="2:4" x14ac:dyDescent="0.35">
      <c r="B416" t="str">
        <v>BR210</v>
      </c>
      <c r="C416">
        <f>COUNTIF(fin_table[],B416)</f>
        <v>2</v>
      </c>
      <c r="D416" s="5">
        <f>SUMIF(fin_table[Branch Code],B416,fin_table[Loan Amount])</f>
        <v>39404.86</v>
      </c>
    </row>
    <row r="417" spans="2:4" x14ac:dyDescent="0.35">
      <c r="B417" t="str">
        <v>BR968</v>
      </c>
      <c r="C417">
        <f>COUNTIF(fin_table[],B417)</f>
        <v>2</v>
      </c>
      <c r="D417" s="5">
        <f>SUMIF(fin_table[Branch Code],B417,fin_table[Loan Amount])</f>
        <v>53945.735000000001</v>
      </c>
    </row>
    <row r="418" spans="2:4" x14ac:dyDescent="0.35">
      <c r="B418" t="str">
        <v>BR742</v>
      </c>
      <c r="C418">
        <f>COUNTIF(fin_table[],B418)</f>
        <v>1</v>
      </c>
      <c r="D418" s="5">
        <f>SUMIF(fin_table[Branch Code],B418,fin_table[Loan Amount])</f>
        <v>26681.654999999999</v>
      </c>
    </row>
    <row r="419" spans="2:4" x14ac:dyDescent="0.35">
      <c r="B419" t="str">
        <v>BR428</v>
      </c>
      <c r="C419">
        <f>COUNTIF(fin_table[],B419)</f>
        <v>2</v>
      </c>
      <c r="D419" s="5">
        <f>SUMIF(fin_table[Branch Code],B419,fin_table[Loan Amount])</f>
        <v>52067.17</v>
      </c>
    </row>
    <row r="420" spans="2:4" x14ac:dyDescent="0.35">
      <c r="B420" t="str">
        <v>BR221</v>
      </c>
      <c r="C420">
        <f>COUNTIF(fin_table[],B420)</f>
        <v>2</v>
      </c>
      <c r="D420" s="5">
        <f>SUMIF(fin_table[Branch Code],B420,fin_table[Loan Amount])</f>
        <v>42035.525000000001</v>
      </c>
    </row>
    <row r="421" spans="2:4" x14ac:dyDescent="0.35">
      <c r="B421" t="str">
        <v>BR140</v>
      </c>
      <c r="C421">
        <f>COUNTIF(fin_table[],B421)</f>
        <v>1</v>
      </c>
      <c r="D421" s="5">
        <f>SUMIF(fin_table[Branch Code],B421,fin_table[Loan Amount])</f>
        <v>26681.654999999999</v>
      </c>
    </row>
    <row r="422" spans="2:4" x14ac:dyDescent="0.35">
      <c r="B422" t="str">
        <v>BR741</v>
      </c>
      <c r="C422">
        <f>COUNTIF(fin_table[],B422)</f>
        <v>1</v>
      </c>
      <c r="D422" s="5">
        <f>SUMIF(fin_table[Branch Code],B422,fin_table[Loan Amount])</f>
        <v>26681.654999999999</v>
      </c>
    </row>
    <row r="423" spans="2:4" x14ac:dyDescent="0.35">
      <c r="B423" t="str">
        <v>BR378</v>
      </c>
      <c r="C423">
        <f>COUNTIF(fin_table[],B423)</f>
        <v>2</v>
      </c>
      <c r="D423" s="5">
        <f>SUMIF(fin_table[Branch Code],B423,fin_table[Loan Amount])</f>
        <v>74079.72</v>
      </c>
    </row>
    <row r="424" spans="2:4" x14ac:dyDescent="0.35">
      <c r="B424" t="str">
        <v>BR568</v>
      </c>
      <c r="C424">
        <f>COUNTIF(fin_table[],B424)</f>
        <v>1</v>
      </c>
      <c r="D424" s="5">
        <f>SUMIF(fin_table[Branch Code],B424,fin_table[Loan Amount])</f>
        <v>26681.654999999999</v>
      </c>
    </row>
    <row r="425" spans="2:4" x14ac:dyDescent="0.35">
      <c r="B425" t="str">
        <v>BR499</v>
      </c>
      <c r="C425">
        <f>COUNTIF(fin_table[],B425)</f>
        <v>2</v>
      </c>
      <c r="D425" s="5">
        <f>SUMIF(fin_table[Branch Code],B425,fin_table[Loan Amount])</f>
        <v>53509.145000000004</v>
      </c>
    </row>
    <row r="426" spans="2:4" x14ac:dyDescent="0.35">
      <c r="B426" t="str">
        <v>BR112</v>
      </c>
      <c r="C426">
        <f>COUNTIF(fin_table[],B426)</f>
        <v>3</v>
      </c>
      <c r="D426" s="5">
        <f>SUMIF(fin_table[Branch Code],B426,fin_table[Loan Amount])</f>
        <v>82147.600000000006</v>
      </c>
    </row>
    <row r="427" spans="2:4" x14ac:dyDescent="0.35">
      <c r="B427" t="str">
        <v>BR931</v>
      </c>
      <c r="C427">
        <f>COUNTIF(fin_table[],B427)</f>
        <v>3</v>
      </c>
      <c r="D427" s="5">
        <f>SUMIF(fin_table[Branch Code],B427,fin_table[Loan Amount])</f>
        <v>124632.55</v>
      </c>
    </row>
    <row r="428" spans="2:4" x14ac:dyDescent="0.35">
      <c r="B428" t="str">
        <v>BR151</v>
      </c>
      <c r="C428">
        <f>COUNTIF(fin_table[],B428)</f>
        <v>2</v>
      </c>
      <c r="D428" s="5">
        <f>SUMIF(fin_table[Branch Code],B428,fin_table[Loan Amount])</f>
        <v>53363.31</v>
      </c>
    </row>
    <row r="429" spans="2:4" x14ac:dyDescent="0.35">
      <c r="B429" t="str">
        <v>BR308</v>
      </c>
      <c r="C429">
        <f>COUNTIF(fin_table[],B429)</f>
        <v>2</v>
      </c>
      <c r="D429" s="5">
        <f>SUMIF(fin_table[Branch Code],B429,fin_table[Loan Amount])</f>
        <v>52327.964999999997</v>
      </c>
    </row>
    <row r="430" spans="2:4" x14ac:dyDescent="0.35">
      <c r="B430" t="str">
        <v>BR711</v>
      </c>
      <c r="C430">
        <f>COUNTIF(fin_table[],B430)</f>
        <v>1</v>
      </c>
      <c r="D430" s="5">
        <f>SUMIF(fin_table[Branch Code],B430,fin_table[Loan Amount])</f>
        <v>26681.654999999999</v>
      </c>
    </row>
    <row r="431" spans="2:4" x14ac:dyDescent="0.35">
      <c r="B431" t="str">
        <v>BR150</v>
      </c>
      <c r="C431">
        <f>COUNTIF(fin_table[],B431)</f>
        <v>2</v>
      </c>
      <c r="D431" s="5">
        <f>SUMIF(fin_table[Branch Code],B431,fin_table[Loan Amount])</f>
        <v>53363.31</v>
      </c>
    </row>
    <row r="432" spans="2:4" x14ac:dyDescent="0.35">
      <c r="B432" t="str">
        <v>BR922</v>
      </c>
      <c r="C432">
        <f>COUNTIF(fin_table[],B432)</f>
        <v>1</v>
      </c>
      <c r="D432" s="5">
        <f>SUMIF(fin_table[Branch Code],B432,fin_table[Loan Amount])</f>
        <v>26681.654999999999</v>
      </c>
    </row>
    <row r="433" spans="2:4" x14ac:dyDescent="0.35">
      <c r="B433" t="str">
        <v>BR818</v>
      </c>
      <c r="C433">
        <f>COUNTIF(fin_table[],B433)</f>
        <v>2</v>
      </c>
      <c r="D433" s="5">
        <f>SUMIF(fin_table[Branch Code],B433,fin_table[Loan Amount])</f>
        <v>58812.78</v>
      </c>
    </row>
    <row r="434" spans="2:4" x14ac:dyDescent="0.35">
      <c r="B434" t="str">
        <v>BR399</v>
      </c>
      <c r="C434">
        <f>COUNTIF(fin_table[],B434)</f>
        <v>1</v>
      </c>
      <c r="D434" s="5">
        <f>SUMIF(fin_table[Branch Code],B434,fin_table[Loan Amount])</f>
        <v>37166.480000000003</v>
      </c>
    </row>
    <row r="435" spans="2:4" x14ac:dyDescent="0.35">
      <c r="B435" t="str">
        <v>BR721</v>
      </c>
      <c r="C435">
        <f>COUNTIF(fin_table[],B435)</f>
        <v>2</v>
      </c>
      <c r="D435" s="5">
        <f>SUMIF(fin_table[Branch Code],B435,fin_table[Loan Amount])</f>
        <v>70410.985000000001</v>
      </c>
    </row>
    <row r="436" spans="2:4" x14ac:dyDescent="0.35">
      <c r="B436" t="str">
        <v>BR295</v>
      </c>
      <c r="C436">
        <f>COUNTIF(fin_table[],B436)</f>
        <v>1</v>
      </c>
      <c r="D436" s="5">
        <f>SUMIF(fin_table[Branch Code],B436,fin_table[Loan Amount])</f>
        <v>26681.654999999999</v>
      </c>
    </row>
    <row r="437" spans="2:4" x14ac:dyDescent="0.35">
      <c r="B437" t="str">
        <v>BR516</v>
      </c>
      <c r="C437">
        <f>COUNTIF(fin_table[],B437)</f>
        <v>1</v>
      </c>
      <c r="D437" s="5">
        <f>SUMIF(fin_table[Branch Code],B437,fin_table[Loan Amount])</f>
        <v>37045.31</v>
      </c>
    </row>
    <row r="438" spans="2:4" x14ac:dyDescent="0.35">
      <c r="B438" t="str">
        <v>BR763</v>
      </c>
      <c r="C438">
        <f>COUNTIF(fin_table[],B438)</f>
        <v>2</v>
      </c>
      <c r="D438" s="5">
        <f>SUMIF(fin_table[Branch Code],B438,fin_table[Loan Amount])</f>
        <v>50702.565000000002</v>
      </c>
    </row>
    <row r="439" spans="2:4" x14ac:dyDescent="0.35">
      <c r="B439" t="str">
        <v>BR854</v>
      </c>
      <c r="C439">
        <f>COUNTIF(fin_table[],B439)</f>
        <v>1</v>
      </c>
      <c r="D439" s="5">
        <f>SUMIF(fin_table[Branch Code],B439,fin_table[Loan Amount])</f>
        <v>26681.654999999999</v>
      </c>
    </row>
    <row r="440" spans="2:4" x14ac:dyDescent="0.35">
      <c r="B440" t="str">
        <v>BR739</v>
      </c>
      <c r="C440">
        <f>COUNTIF(fin_table[],B440)</f>
        <v>2</v>
      </c>
      <c r="D440" s="5">
        <f>SUMIF(fin_table[Branch Code],B440,fin_table[Loan Amount])</f>
        <v>53363.31</v>
      </c>
    </row>
    <row r="441" spans="2:4" x14ac:dyDescent="0.35">
      <c r="B441" t="str">
        <v>BR247</v>
      </c>
      <c r="C441">
        <f>COUNTIF(fin_table[],B441)</f>
        <v>1</v>
      </c>
      <c r="D441" s="5">
        <f>SUMIF(fin_table[Branch Code],B441,fin_table[Loan Amount])</f>
        <v>26681.654999999999</v>
      </c>
    </row>
    <row r="442" spans="2:4" x14ac:dyDescent="0.35">
      <c r="B442" t="str">
        <v>BR464</v>
      </c>
      <c r="C442">
        <f>COUNTIF(fin_table[],B442)</f>
        <v>4</v>
      </c>
      <c r="D442" s="5">
        <f>SUMIF(fin_table[Branch Code],B442,fin_table[Loan Amount])</f>
        <v>84748.785000000003</v>
      </c>
    </row>
    <row r="443" spans="2:4" x14ac:dyDescent="0.35">
      <c r="B443" t="str">
        <v>BR463</v>
      </c>
      <c r="C443">
        <f>COUNTIF(fin_table[],B443)</f>
        <v>1</v>
      </c>
      <c r="D443" s="5">
        <f>SUMIF(fin_table[Branch Code],B443,fin_table[Loan Amount])</f>
        <v>26681.654999999999</v>
      </c>
    </row>
    <row r="444" spans="2:4" x14ac:dyDescent="0.35">
      <c r="B444" t="str">
        <v>BR751</v>
      </c>
      <c r="C444">
        <f>COUNTIF(fin_table[],B444)</f>
        <v>1</v>
      </c>
      <c r="D444" s="5">
        <f>SUMIF(fin_table[Branch Code],B444,fin_table[Loan Amount])</f>
        <v>38685.410000000003</v>
      </c>
    </row>
    <row r="445" spans="2:4" x14ac:dyDescent="0.35">
      <c r="B445" t="str">
        <v>BR591</v>
      </c>
      <c r="C445">
        <f>COUNTIF(fin_table[],B445)</f>
        <v>2</v>
      </c>
      <c r="D445" s="5">
        <f>SUMIF(fin_table[Branch Code],B445,fin_table[Loan Amount])</f>
        <v>70305.574999999997</v>
      </c>
    </row>
    <row r="446" spans="2:4" x14ac:dyDescent="0.35">
      <c r="B446" t="str">
        <v>BR328</v>
      </c>
      <c r="C446">
        <f>COUNTIF(fin_table[],B446)</f>
        <v>2</v>
      </c>
      <c r="D446" s="5">
        <f>SUMIF(fin_table[Branch Code],B446,fin_table[Loan Amount])</f>
        <v>75726.290000000008</v>
      </c>
    </row>
    <row r="447" spans="2:4" x14ac:dyDescent="0.35">
      <c r="B447" t="str">
        <v>BR674</v>
      </c>
      <c r="C447">
        <f>COUNTIF(fin_table[],B447)</f>
        <v>2</v>
      </c>
      <c r="D447" s="5">
        <f>SUMIF(fin_table[Branch Code],B447,fin_table[Loan Amount])</f>
        <v>53363.31</v>
      </c>
    </row>
    <row r="448" spans="2:4" x14ac:dyDescent="0.35">
      <c r="B448" t="str">
        <v>BR636</v>
      </c>
      <c r="C448">
        <f>COUNTIF(fin_table[],B448)</f>
        <v>1</v>
      </c>
      <c r="D448" s="5">
        <f>SUMIF(fin_table[Branch Code],B448,fin_table[Loan Amount])</f>
        <v>26681.654999999999</v>
      </c>
    </row>
    <row r="449" spans="2:4" x14ac:dyDescent="0.35">
      <c r="B449" t="str">
        <v>BR504</v>
      </c>
      <c r="C449">
        <f>COUNTIF(fin_table[],B449)</f>
        <v>1</v>
      </c>
      <c r="D449" s="5">
        <f>SUMIF(fin_table[Branch Code],B449,fin_table[Loan Amount])</f>
        <v>9680.56</v>
      </c>
    </row>
    <row r="450" spans="2:4" x14ac:dyDescent="0.35">
      <c r="B450" t="str">
        <v>BR110</v>
      </c>
      <c r="C450">
        <f>COUNTIF(fin_table[],B450)</f>
        <v>2</v>
      </c>
      <c r="D450" s="5">
        <f>SUMIF(fin_table[Branch Code],B450,fin_table[Loan Amount])</f>
        <v>54888.81</v>
      </c>
    </row>
    <row r="451" spans="2:4" x14ac:dyDescent="0.35">
      <c r="B451" t="str">
        <v>BR225</v>
      </c>
      <c r="C451">
        <f>COUNTIF(fin_table[],B451)</f>
        <v>1</v>
      </c>
      <c r="D451" s="5">
        <f>SUMIF(fin_table[Branch Code],B451,fin_table[Loan Amount])</f>
        <v>26681.654999999999</v>
      </c>
    </row>
    <row r="452" spans="2:4" x14ac:dyDescent="0.35">
      <c r="B452" t="str">
        <v>BR610</v>
      </c>
      <c r="C452">
        <f>COUNTIF(fin_table[],B452)</f>
        <v>1</v>
      </c>
      <c r="D452" s="5">
        <f>SUMIF(fin_table[Branch Code],B452,fin_table[Loan Amount])</f>
        <v>26681.654999999999</v>
      </c>
    </row>
    <row r="453" spans="2:4" x14ac:dyDescent="0.35">
      <c r="B453" t="str">
        <v>BR188</v>
      </c>
      <c r="C453">
        <f>COUNTIF(fin_table[],B453)</f>
        <v>2</v>
      </c>
      <c r="D453" s="5">
        <f>SUMIF(fin_table[Branch Code],B453,fin_table[Loan Amount])</f>
        <v>71111</v>
      </c>
    </row>
    <row r="454" spans="2:4" x14ac:dyDescent="0.35">
      <c r="B454" t="str">
        <v>BR454</v>
      </c>
      <c r="C454">
        <f>COUNTIF(fin_table[],B454)</f>
        <v>2</v>
      </c>
      <c r="D454" s="5">
        <f>SUMIF(fin_table[Branch Code],B454,fin_table[Loan Amount])</f>
        <v>53363.31</v>
      </c>
    </row>
    <row r="455" spans="2:4" x14ac:dyDescent="0.35">
      <c r="B455" t="str">
        <v>BR788</v>
      </c>
      <c r="C455">
        <f>COUNTIF(fin_table[],B455)</f>
        <v>2</v>
      </c>
      <c r="D455" s="5">
        <f>SUMIF(fin_table[Branch Code],B455,fin_table[Loan Amount])</f>
        <v>56932.044999999998</v>
      </c>
    </row>
    <row r="456" spans="2:4" x14ac:dyDescent="0.35">
      <c r="B456" t="str">
        <v>BR356</v>
      </c>
      <c r="C456">
        <f>COUNTIF(fin_table[],B456)</f>
        <v>3</v>
      </c>
      <c r="D456" s="5">
        <f>SUMIF(fin_table[Branch Code],B456,fin_table[Loan Amount])</f>
        <v>76154.285000000003</v>
      </c>
    </row>
    <row r="457" spans="2:4" x14ac:dyDescent="0.35">
      <c r="B457" t="str">
        <v>BR542</v>
      </c>
      <c r="C457">
        <f>COUNTIF(fin_table[],B457)</f>
        <v>1</v>
      </c>
      <c r="D457" s="5">
        <f>SUMIF(fin_table[Branch Code],B457,fin_table[Loan Amount])</f>
        <v>16865.400000000001</v>
      </c>
    </row>
    <row r="458" spans="2:4" x14ac:dyDescent="0.35">
      <c r="B458" t="str">
        <v>BR488</v>
      </c>
      <c r="C458">
        <f>COUNTIF(fin_table[],B458)</f>
        <v>1</v>
      </c>
      <c r="D458" s="5">
        <f>SUMIF(fin_table[Branch Code],B458,fin_table[Loan Amount])</f>
        <v>42474.879999999997</v>
      </c>
    </row>
    <row r="459" spans="2:4" x14ac:dyDescent="0.35">
      <c r="B459" t="str">
        <v>BR729</v>
      </c>
      <c r="C459">
        <f>COUNTIF(fin_table[],B459)</f>
        <v>2</v>
      </c>
      <c r="D459" s="5">
        <f>SUMIF(fin_table[Branch Code],B459,fin_table[Loan Amount])</f>
        <v>53363.31</v>
      </c>
    </row>
    <row r="460" spans="2:4" x14ac:dyDescent="0.35">
      <c r="B460" t="str">
        <v>BR533</v>
      </c>
      <c r="C460">
        <f>COUNTIF(fin_table[],B460)</f>
        <v>1</v>
      </c>
      <c r="D460" s="5">
        <f>SUMIF(fin_table[Branch Code],B460,fin_table[Loan Amount])</f>
        <v>26681.654999999999</v>
      </c>
    </row>
    <row r="461" spans="2:4" x14ac:dyDescent="0.35">
      <c r="B461" t="str">
        <v>BR485</v>
      </c>
      <c r="C461">
        <f>COUNTIF(fin_table[],B461)</f>
        <v>1</v>
      </c>
      <c r="D461" s="5">
        <f>SUMIF(fin_table[Branch Code],B461,fin_table[Loan Amount])</f>
        <v>47758.13</v>
      </c>
    </row>
    <row r="462" spans="2:4" x14ac:dyDescent="0.35">
      <c r="B462" t="str">
        <v>BR445</v>
      </c>
      <c r="C462">
        <f>COUNTIF(fin_table[],B462)</f>
        <v>2</v>
      </c>
      <c r="D462" s="5">
        <f>SUMIF(fin_table[Branch Code],B462,fin_table[Loan Amount])</f>
        <v>74413.755000000005</v>
      </c>
    </row>
    <row r="463" spans="2:4" x14ac:dyDescent="0.35">
      <c r="B463" t="str">
        <v>BR797</v>
      </c>
      <c r="C463">
        <f>COUNTIF(fin_table[],B463)</f>
        <v>2</v>
      </c>
      <c r="D463" s="5">
        <f>SUMIF(fin_table[Branch Code],B463,fin_table[Loan Amount])</f>
        <v>60740.834999999999</v>
      </c>
    </row>
    <row r="464" spans="2:4" x14ac:dyDescent="0.35">
      <c r="B464" t="str">
        <v>BR306</v>
      </c>
      <c r="C464">
        <f>COUNTIF(fin_table[],B464)</f>
        <v>2</v>
      </c>
      <c r="D464" s="5">
        <f>SUMIF(fin_table[Branch Code],B464,fin_table[Loan Amount])</f>
        <v>53363.31</v>
      </c>
    </row>
    <row r="465" spans="2:4" x14ac:dyDescent="0.35">
      <c r="B465" t="str">
        <v>BR957</v>
      </c>
      <c r="C465">
        <f>COUNTIF(fin_table[],B465)</f>
        <v>1</v>
      </c>
      <c r="D465" s="5">
        <f>SUMIF(fin_table[Branch Code],B465,fin_table[Loan Amount])</f>
        <v>26681.654999999999</v>
      </c>
    </row>
    <row r="466" spans="2:4" x14ac:dyDescent="0.35">
      <c r="B466" t="str">
        <v>BR271</v>
      </c>
      <c r="C466">
        <f>COUNTIF(fin_table[],B466)</f>
        <v>1</v>
      </c>
      <c r="D466" s="5">
        <f>SUMIF(fin_table[Branch Code],B466,fin_table[Loan Amount])</f>
        <v>26681.654999999999</v>
      </c>
    </row>
    <row r="467" spans="2:4" x14ac:dyDescent="0.35">
      <c r="B467" t="str">
        <v>BR320</v>
      </c>
      <c r="C467">
        <f>COUNTIF(fin_table[],B467)</f>
        <v>2</v>
      </c>
      <c r="D467" s="5">
        <f>SUMIF(fin_table[Branch Code],B467,fin_table[Loan Amount])</f>
        <v>53363.31</v>
      </c>
    </row>
    <row r="468" spans="2:4" x14ac:dyDescent="0.35">
      <c r="B468" t="str">
        <v>BR282</v>
      </c>
      <c r="C468">
        <f>COUNTIF(fin_table[],B468)</f>
        <v>1</v>
      </c>
      <c r="D468" s="5">
        <f>SUMIF(fin_table[Branch Code],B468,fin_table[Loan Amount])</f>
        <v>26681.654999999999</v>
      </c>
    </row>
    <row r="469" spans="2:4" x14ac:dyDescent="0.35">
      <c r="B469" t="str">
        <v>BR498</v>
      </c>
      <c r="C469">
        <f>COUNTIF(fin_table[],B469)</f>
        <v>1</v>
      </c>
      <c r="D469" s="5">
        <f>SUMIF(fin_table[Branch Code],B469,fin_table[Loan Amount])</f>
        <v>26681.654999999999</v>
      </c>
    </row>
    <row r="470" spans="2:4" x14ac:dyDescent="0.35">
      <c r="B470" t="str">
        <v>BR171</v>
      </c>
      <c r="C470">
        <f>COUNTIF(fin_table[],B470)</f>
        <v>1</v>
      </c>
      <c r="D470" s="5">
        <f>SUMIF(fin_table[Branch Code],B470,fin_table[Loan Amount])</f>
        <v>43545.57</v>
      </c>
    </row>
    <row r="471" spans="2:4" x14ac:dyDescent="0.35">
      <c r="B471" t="str">
        <v>BR997</v>
      </c>
      <c r="C471">
        <f>COUNTIF(fin_table[],B471)</f>
        <v>1</v>
      </c>
      <c r="D471" s="5">
        <f>SUMIF(fin_table[Branch Code],B471,fin_table[Loan Amount])</f>
        <v>40244.97</v>
      </c>
    </row>
    <row r="472" spans="2:4" x14ac:dyDescent="0.35">
      <c r="B472" t="str">
        <v>BR382</v>
      </c>
      <c r="C472">
        <f>COUNTIF(fin_table[],B472)</f>
        <v>1</v>
      </c>
      <c r="D472" s="5">
        <f>SUMIF(fin_table[Branch Code],B472,fin_table[Loan Amount])</f>
        <v>26681.654999999999</v>
      </c>
    </row>
    <row r="473" spans="2:4" x14ac:dyDescent="0.35">
      <c r="B473" t="str">
        <v>BR173</v>
      </c>
      <c r="C473">
        <f>COUNTIF(fin_table[],B473)</f>
        <v>2</v>
      </c>
      <c r="D473" s="5">
        <f>SUMIF(fin_table[Branch Code],B473,fin_table[Loan Amount])</f>
        <v>75041.385000000009</v>
      </c>
    </row>
    <row r="474" spans="2:4" x14ac:dyDescent="0.35">
      <c r="B474" t="str">
        <v>BR826</v>
      </c>
      <c r="C474">
        <f>COUNTIF(fin_table[],B474)</f>
        <v>1</v>
      </c>
      <c r="D474" s="5">
        <f>SUMIF(fin_table[Branch Code],B474,fin_table[Loan Amount])</f>
        <v>26681.654999999999</v>
      </c>
    </row>
    <row r="475" spans="2:4" x14ac:dyDescent="0.35">
      <c r="B475" t="str">
        <v>BR596</v>
      </c>
      <c r="C475">
        <f>COUNTIF(fin_table[],B475)</f>
        <v>1</v>
      </c>
      <c r="D475" s="5">
        <f>SUMIF(fin_table[Branch Code],B475,fin_table[Loan Amount])</f>
        <v>26681.654999999999</v>
      </c>
    </row>
    <row r="476" spans="2:4" x14ac:dyDescent="0.35">
      <c r="B476" t="str">
        <v>BR679</v>
      </c>
      <c r="C476">
        <f>COUNTIF(fin_table[],B476)</f>
        <v>2</v>
      </c>
      <c r="D476" s="5">
        <f>SUMIF(fin_table[Branch Code],B476,fin_table[Loan Amount])</f>
        <v>61222.875</v>
      </c>
    </row>
    <row r="477" spans="2:4" x14ac:dyDescent="0.35">
      <c r="B477" t="str">
        <v>BR546</v>
      </c>
      <c r="C477">
        <f>COUNTIF(fin_table[],B477)</f>
        <v>2</v>
      </c>
      <c r="D477" s="5">
        <f>SUMIF(fin_table[Branch Code],B477,fin_table[Loan Amount])</f>
        <v>32512.235000000001</v>
      </c>
    </row>
    <row r="478" spans="2:4" x14ac:dyDescent="0.35">
      <c r="B478" t="str">
        <v>BR472</v>
      </c>
      <c r="C478">
        <f>COUNTIF(fin_table[],B478)</f>
        <v>1</v>
      </c>
      <c r="D478" s="5">
        <f>SUMIF(fin_table[Branch Code],B478,fin_table[Loan Amount])</f>
        <v>26681.654999999999</v>
      </c>
    </row>
    <row r="479" spans="2:4" x14ac:dyDescent="0.35">
      <c r="B479" t="str">
        <v>BR461</v>
      </c>
      <c r="C479">
        <f>COUNTIF(fin_table[],B479)</f>
        <v>1</v>
      </c>
      <c r="D479" s="5">
        <f>SUMIF(fin_table[Branch Code],B479,fin_table[Loan Amount])</f>
        <v>26681.654999999999</v>
      </c>
    </row>
    <row r="480" spans="2:4" x14ac:dyDescent="0.35">
      <c r="B480" t="str">
        <v>BR192</v>
      </c>
      <c r="C480">
        <f>COUNTIF(fin_table[],B480)</f>
        <v>1</v>
      </c>
      <c r="D480" s="5">
        <f>SUMIF(fin_table[Branch Code],B480,fin_table[Loan Amount])</f>
        <v>26681.654999999999</v>
      </c>
    </row>
    <row r="481" spans="2:4" x14ac:dyDescent="0.35">
      <c r="B481" t="str">
        <v>BR423</v>
      </c>
      <c r="C481">
        <f>COUNTIF(fin_table[],B481)</f>
        <v>1</v>
      </c>
      <c r="D481" s="5">
        <f>SUMIF(fin_table[Branch Code],B481,fin_table[Loan Amount])</f>
        <v>37519.120000000003</v>
      </c>
    </row>
    <row r="482" spans="2:4" x14ac:dyDescent="0.35">
      <c r="B482" t="str">
        <v>BR483</v>
      </c>
      <c r="C482">
        <f>COUNTIF(fin_table[],B482)</f>
        <v>1</v>
      </c>
      <c r="D482" s="5">
        <f>SUMIF(fin_table[Branch Code],B482,fin_table[Loan Amount])</f>
        <v>19460.8</v>
      </c>
    </row>
    <row r="483" spans="2:4" x14ac:dyDescent="0.35">
      <c r="B483" t="str">
        <v>BR835</v>
      </c>
      <c r="C483">
        <f>COUNTIF(fin_table[],B483)</f>
        <v>1</v>
      </c>
      <c r="D483" s="5">
        <f>SUMIF(fin_table[Branch Code],B483,fin_table[Loan Amount])</f>
        <v>17819.2</v>
      </c>
    </row>
    <row r="484" spans="2:4" x14ac:dyDescent="0.35">
      <c r="B484" t="str">
        <v>BR948</v>
      </c>
      <c r="C484">
        <f>COUNTIF(fin_table[],B484)</f>
        <v>1</v>
      </c>
      <c r="D484" s="5">
        <f>SUMIF(fin_table[Branch Code],B484,fin_table[Loan Amount])</f>
        <v>27438.51</v>
      </c>
    </row>
    <row r="485" spans="2:4" x14ac:dyDescent="0.35">
      <c r="B485" t="str">
        <v>BR202</v>
      </c>
      <c r="C485">
        <f>COUNTIF(fin_table[],B485)</f>
        <v>1</v>
      </c>
      <c r="D485" s="5">
        <f>SUMIF(fin_table[Branch Code],B485,fin_table[Loan Amount])</f>
        <v>7027.68</v>
      </c>
    </row>
    <row r="486" spans="2:4" x14ac:dyDescent="0.35">
      <c r="B486" t="str">
        <v>BR771</v>
      </c>
      <c r="C486">
        <f>COUNTIF(fin_table[],B486)</f>
        <v>1</v>
      </c>
      <c r="D486" s="5">
        <f>SUMIF(fin_table[Branch Code],B486,fin_table[Loan Amount])</f>
        <v>26681.654999999999</v>
      </c>
    </row>
    <row r="487" spans="2:4" x14ac:dyDescent="0.35">
      <c r="B487" t="str">
        <v>BR983</v>
      </c>
      <c r="C487">
        <f>COUNTIF(fin_table[],B487)</f>
        <v>1</v>
      </c>
      <c r="D487" s="5">
        <f>SUMIF(fin_table[Branch Code],B487,fin_table[Loan Amount])</f>
        <v>38288.75</v>
      </c>
    </row>
    <row r="488" spans="2:4" x14ac:dyDescent="0.35">
      <c r="B488" t="str">
        <v>BR880</v>
      </c>
      <c r="C488">
        <f>COUNTIF(fin_table[],B488)</f>
        <v>1</v>
      </c>
      <c r="D488" s="5">
        <f>SUMIF(fin_table[Branch Code],B488,fin_table[Loan Amount])</f>
        <v>16723.29</v>
      </c>
    </row>
    <row r="489" spans="2:4" x14ac:dyDescent="0.35">
      <c r="B489" t="str">
        <v>BR293</v>
      </c>
      <c r="C489">
        <f>COUNTIF(fin_table[],B489)</f>
        <v>1</v>
      </c>
      <c r="D489" s="5">
        <f>SUMIF(fin_table[Branch Code],B489,fin_table[Loan Amount])</f>
        <v>26681.654999999999</v>
      </c>
    </row>
    <row r="490" spans="2:4" x14ac:dyDescent="0.35">
      <c r="B490" t="str">
        <v>BR502</v>
      </c>
      <c r="C490">
        <f>COUNTIF(fin_table[],B490)</f>
        <v>1</v>
      </c>
      <c r="D490" s="5">
        <f>SUMIF(fin_table[Branch Code],B490,fin_table[Loan Amount])</f>
        <v>26681.654999999999</v>
      </c>
    </row>
    <row r="491" spans="2:4" x14ac:dyDescent="0.35">
      <c r="B491" t="str">
        <v>BR848</v>
      </c>
      <c r="C491">
        <f>COUNTIF(fin_table[],B491)</f>
        <v>1</v>
      </c>
      <c r="D491" s="5">
        <f>SUMIF(fin_table[Branch Code],B491,fin_table[Loan Amount])</f>
        <v>49983.6</v>
      </c>
    </row>
    <row r="492" spans="2:4" x14ac:dyDescent="0.35">
      <c r="B492" t="str">
        <v>BR699</v>
      </c>
      <c r="C492">
        <f>COUNTIF(fin_table[],B492)</f>
        <v>1</v>
      </c>
      <c r="D492" s="5">
        <f>SUMIF(fin_table[Branch Code],B492,fin_table[Loan Amount])</f>
        <v>27308.02</v>
      </c>
    </row>
    <row r="493" spans="2:4" x14ac:dyDescent="0.35">
      <c r="B493" t="str">
        <v>BR286</v>
      </c>
      <c r="C493">
        <f>COUNTIF(fin_table[],B493)</f>
        <v>3</v>
      </c>
      <c r="D493" s="5">
        <f>SUMIF(fin_table[Branch Code],B493,fin_table[Loan Amount])</f>
        <v>82209.289999999994</v>
      </c>
    </row>
    <row r="494" spans="2:4" x14ac:dyDescent="0.35">
      <c r="B494" t="str">
        <v>BR825</v>
      </c>
      <c r="C494">
        <f>COUNTIF(fin_table[],B494)</f>
        <v>1</v>
      </c>
      <c r="D494" s="5">
        <f>SUMIF(fin_table[Branch Code],B494,fin_table[Loan Amount])</f>
        <v>26681.654999999999</v>
      </c>
    </row>
    <row r="495" spans="2:4" x14ac:dyDescent="0.35">
      <c r="B495" t="str">
        <v>BR114</v>
      </c>
      <c r="C495">
        <f>COUNTIF(fin_table[],B495)</f>
        <v>1</v>
      </c>
      <c r="D495" s="5">
        <f>SUMIF(fin_table[Branch Code],B495,fin_table[Loan Amount])</f>
        <v>17150.09</v>
      </c>
    </row>
    <row r="496" spans="2:4" x14ac:dyDescent="0.35">
      <c r="B496" t="str">
        <v>BR510</v>
      </c>
      <c r="C496">
        <f>COUNTIF(fin_table[],B496)</f>
        <v>1</v>
      </c>
      <c r="D496" s="5">
        <f>SUMIF(fin_table[Branch Code],B496,fin_table[Loan Amount])</f>
        <v>12386.65</v>
      </c>
    </row>
    <row r="497" spans="2:4" x14ac:dyDescent="0.35">
      <c r="B497" t="str">
        <v>BR676</v>
      </c>
      <c r="C497">
        <f>COUNTIF(fin_table[],B497)</f>
        <v>1</v>
      </c>
      <c r="D497" s="5">
        <f>SUMIF(fin_table[Branch Code],B497,fin_table[Loan Amount])</f>
        <v>19289.55</v>
      </c>
    </row>
    <row r="498" spans="2:4" x14ac:dyDescent="0.35">
      <c r="B498" t="str">
        <v>BR116</v>
      </c>
      <c r="C498">
        <f>COUNTIF(fin_table[],B498)</f>
        <v>1</v>
      </c>
      <c r="D498" s="5">
        <f>SUMIF(fin_table[Branch Code],B498,fin_table[Loan Amount])</f>
        <v>26681.654999999999</v>
      </c>
    </row>
    <row r="499" spans="2:4" x14ac:dyDescent="0.35">
      <c r="B499" t="str">
        <v>BR450</v>
      </c>
      <c r="C499">
        <f>COUNTIF(fin_table[],B499)</f>
        <v>2</v>
      </c>
      <c r="D499" s="5">
        <f>SUMIF(fin_table[Branch Code],B499,fin_table[Loan Amount])</f>
        <v>61801.555</v>
      </c>
    </row>
    <row r="500" spans="2:4" x14ac:dyDescent="0.35">
      <c r="B500" t="str">
        <v>BR527</v>
      </c>
      <c r="C500">
        <f>COUNTIF(fin_table[],B500)</f>
        <v>1</v>
      </c>
      <c r="D500" s="5">
        <f>SUMIF(fin_table[Branch Code],B500,fin_table[Loan Amount])</f>
        <v>26681.654999999999</v>
      </c>
    </row>
    <row r="501" spans="2:4" x14ac:dyDescent="0.35">
      <c r="B501" t="str">
        <v>BR749</v>
      </c>
      <c r="C501">
        <f>COUNTIF(fin_table[],B501)</f>
        <v>2</v>
      </c>
      <c r="D501" s="5">
        <f>SUMIF(fin_table[Branch Code],B501,fin_table[Loan Amount])</f>
        <v>42133.614999999998</v>
      </c>
    </row>
    <row r="502" spans="2:4" x14ac:dyDescent="0.35">
      <c r="B502" t="str">
        <v>BR865</v>
      </c>
      <c r="C502">
        <f>COUNTIF(fin_table[],B502)</f>
        <v>1</v>
      </c>
      <c r="D502" s="5">
        <f>SUMIF(fin_table[Branch Code],B502,fin_table[Loan Amount])</f>
        <v>26681.654999999999</v>
      </c>
    </row>
    <row r="503" spans="2:4" x14ac:dyDescent="0.35">
      <c r="B503" t="str">
        <v>BR530</v>
      </c>
      <c r="C503">
        <f>COUNTIF(fin_table[],B503)</f>
        <v>1</v>
      </c>
      <c r="D503" s="5">
        <f>SUMIF(fin_table[Branch Code],B503,fin_table[Loan Amount])</f>
        <v>26681.654999999999</v>
      </c>
    </row>
    <row r="504" spans="2:4" x14ac:dyDescent="0.35">
      <c r="B504" t="str">
        <v>BR393</v>
      </c>
      <c r="C504">
        <f>COUNTIF(fin_table[],B504)</f>
        <v>1</v>
      </c>
      <c r="D504" s="5">
        <f>SUMIF(fin_table[Branch Code],B504,fin_table[Loan Amount])</f>
        <v>26681.654999999999</v>
      </c>
    </row>
    <row r="505" spans="2:4" x14ac:dyDescent="0.35">
      <c r="B505" t="str">
        <v>BR303</v>
      </c>
      <c r="C505">
        <f>COUNTIF(fin_table[],B505)</f>
        <v>1</v>
      </c>
      <c r="D505" s="5">
        <f>SUMIF(fin_table[Branch Code],B505,fin_table[Loan Amount])</f>
        <v>26681.654999999999</v>
      </c>
    </row>
    <row r="506" spans="2:4" x14ac:dyDescent="0.35">
      <c r="B506" t="str">
        <v>BR474</v>
      </c>
      <c r="C506">
        <f>COUNTIF(fin_table[],B506)</f>
        <v>1</v>
      </c>
      <c r="D506" s="5">
        <f>SUMIF(fin_table[Branch Code],B506,fin_table[Loan Amount])</f>
        <v>26681.654999999999</v>
      </c>
    </row>
    <row r="507" spans="2:4" x14ac:dyDescent="0.35">
      <c r="B507" t="str">
        <v>BR434</v>
      </c>
      <c r="C507">
        <f>COUNTIF(fin_table[],B507)</f>
        <v>1</v>
      </c>
      <c r="D507" s="5">
        <f>SUMIF(fin_table[Branch Code],B507,fin_table[Loan Amount])</f>
        <v>26681.654999999999</v>
      </c>
    </row>
    <row r="508" spans="2:4" x14ac:dyDescent="0.35">
      <c r="B508" t="str">
        <v>BR234</v>
      </c>
      <c r="C508">
        <f>COUNTIF(fin_table[],B508)</f>
        <v>1</v>
      </c>
      <c r="D508" s="5">
        <f>SUMIF(fin_table[Branch Code],B508,fin_table[Loan Amount])</f>
        <v>26681.654999999999</v>
      </c>
    </row>
    <row r="509" spans="2:4" x14ac:dyDescent="0.35">
      <c r="B509" t="str">
        <v>BR157</v>
      </c>
      <c r="C509">
        <f>COUNTIF(fin_table[],B509)</f>
        <v>1</v>
      </c>
      <c r="D509" s="5">
        <f>SUMIF(fin_table[Branch Code],B509,fin_table[Loan Amount])</f>
        <v>26681.654999999999</v>
      </c>
    </row>
    <row r="510" spans="2:4" x14ac:dyDescent="0.35">
      <c r="B510" t="str">
        <v>BR394</v>
      </c>
      <c r="C510">
        <f>COUNTIF(fin_table[],B510)</f>
        <v>1</v>
      </c>
      <c r="D510" s="5">
        <f>SUMIF(fin_table[Branch Code],B510,fin_table[Loan Amount])</f>
        <v>16526.79</v>
      </c>
    </row>
    <row r="511" spans="2:4" x14ac:dyDescent="0.35">
      <c r="B511" t="str">
        <v>BR730</v>
      </c>
      <c r="C511">
        <f>COUNTIF(fin_table[],B511)</f>
        <v>1</v>
      </c>
      <c r="D511" s="5">
        <f>SUMIF(fin_table[Branch Code],B511,fin_table[Loan Amount])</f>
        <v>26681.654999999999</v>
      </c>
    </row>
    <row r="512" spans="2:4" x14ac:dyDescent="0.35">
      <c r="B512" t="str">
        <v>BR166</v>
      </c>
      <c r="C512">
        <f>COUNTIF(fin_table[],B512)</f>
        <v>1</v>
      </c>
      <c r="D512" s="5">
        <f>SUMIF(fin_table[Branch Code],B512,fin_table[Loan Amount])</f>
        <v>26681.654999999999</v>
      </c>
    </row>
    <row r="513" spans="2:4" x14ac:dyDescent="0.35">
      <c r="B513" t="str">
        <v>BR824</v>
      </c>
      <c r="C513">
        <f>COUNTIF(fin_table[],B513)</f>
        <v>1</v>
      </c>
      <c r="D513" s="5">
        <f>SUMIF(fin_table[Branch Code],B513,fin_table[Loan Amount])</f>
        <v>26681.654999999999</v>
      </c>
    </row>
    <row r="514" spans="2:4" x14ac:dyDescent="0.35">
      <c r="B514" t="str">
        <v>BR919</v>
      </c>
      <c r="C514">
        <f>COUNTIF(fin_table[],B514)</f>
        <v>1</v>
      </c>
      <c r="D514" s="5">
        <f>SUMIF(fin_table[Branch Code],B514,fin_table[Loan Amount])</f>
        <v>9804.0300000000007</v>
      </c>
    </row>
    <row r="515" spans="2:4" x14ac:dyDescent="0.35">
      <c r="B515" t="str">
        <v>BR155</v>
      </c>
      <c r="C515">
        <f>COUNTIF(fin_table[],B515)</f>
        <v>1</v>
      </c>
      <c r="D515" s="5">
        <f>SUMIF(fin_table[Branch Code],B515,fin_table[Loan Amount])</f>
        <v>34482.75</v>
      </c>
    </row>
    <row r="516" spans="2:4" x14ac:dyDescent="0.35">
      <c r="B516" t="str">
        <v>BR850</v>
      </c>
      <c r="C516">
        <f>COUNTIF(fin_table[],B516)</f>
        <v>1</v>
      </c>
      <c r="D516" s="5">
        <f>SUMIF(fin_table[Branch Code],B516,fin_table[Loan Amount])</f>
        <v>13291.23</v>
      </c>
    </row>
    <row r="517" spans="2:4" x14ac:dyDescent="0.35">
      <c r="B517" t="str">
        <v>BR191</v>
      </c>
      <c r="C517">
        <f>COUNTIF(fin_table[],B517)</f>
        <v>1</v>
      </c>
      <c r="D517" s="5">
        <f>SUMIF(fin_table[Branch Code],B517,fin_table[Loan Amount])</f>
        <v>26681.654999999999</v>
      </c>
    </row>
    <row r="518" spans="2:4" x14ac:dyDescent="0.35">
      <c r="B518" t="str">
        <v>BR208</v>
      </c>
      <c r="C518">
        <f>COUNTIF(fin_table[],B518)</f>
        <v>2</v>
      </c>
      <c r="D518" s="5">
        <f>SUMIF(fin_table[Branch Code],B518,fin_table[Loan Amount])</f>
        <v>71765.205000000002</v>
      </c>
    </row>
    <row r="519" spans="2:4" x14ac:dyDescent="0.35">
      <c r="B519" t="str">
        <v>BR911</v>
      </c>
      <c r="C519">
        <f>COUNTIF(fin_table[],B519)</f>
        <v>1</v>
      </c>
      <c r="D519" s="5">
        <f>SUMIF(fin_table[Branch Code],B519,fin_table[Loan Amount])</f>
        <v>26681.654999999999</v>
      </c>
    </row>
    <row r="520" spans="2:4" x14ac:dyDescent="0.35">
      <c r="B520" t="str">
        <v>BR534</v>
      </c>
      <c r="C520">
        <f>COUNTIF(fin_table[],B520)</f>
        <v>1</v>
      </c>
      <c r="D520" s="5">
        <f>SUMIF(fin_table[Branch Code],B520,fin_table[Loan Amount])</f>
        <v>6729.15</v>
      </c>
    </row>
    <row r="521" spans="2:4" x14ac:dyDescent="0.35">
      <c r="B521" t="str">
        <v>BR317</v>
      </c>
      <c r="C521">
        <f>COUNTIF(fin_table[],B521)</f>
        <v>1</v>
      </c>
      <c r="D521" s="5">
        <f>SUMIF(fin_table[Branch Code],B521,fin_table[Loan Amount])</f>
        <v>26681.654999999999</v>
      </c>
    </row>
    <row r="522" spans="2:4" x14ac:dyDescent="0.35">
      <c r="B522" t="str">
        <v>BR321</v>
      </c>
      <c r="C522">
        <f>COUNTIF(fin_table[],B522)</f>
        <v>1</v>
      </c>
      <c r="D522" s="5">
        <f>SUMIF(fin_table[Branch Code],B522,fin_table[Loan Amount])</f>
        <v>28521.38</v>
      </c>
    </row>
    <row r="523" spans="2:4" x14ac:dyDescent="0.35">
      <c r="B523" t="str">
        <v>BR627</v>
      </c>
      <c r="C523">
        <f>COUNTIF(fin_table[],B523)</f>
        <v>1</v>
      </c>
      <c r="D523" s="5">
        <f>SUMIF(fin_table[Branch Code],B523,fin_table[Loan Amount])</f>
        <v>9372.41</v>
      </c>
    </row>
    <row r="524" spans="2:4" x14ac:dyDescent="0.35">
      <c r="B524" t="str">
        <v>BR974</v>
      </c>
      <c r="C524">
        <f>COUNTIF(fin_table[],B524)</f>
        <v>1</v>
      </c>
      <c r="D524" s="5">
        <f>SUMIF(fin_table[Branch Code],B524,fin_table[Loan Amount])</f>
        <v>49059.65</v>
      </c>
    </row>
    <row r="525" spans="2:4" x14ac:dyDescent="0.35">
      <c r="B525" t="str">
        <v>BR565</v>
      </c>
      <c r="C525">
        <f>COUNTIF(fin_table[],B525)</f>
        <v>1</v>
      </c>
      <c r="D525" s="5">
        <f>SUMIF(fin_table[Branch Code],B525,fin_table[Loan Amount])</f>
        <v>26681.654999999999</v>
      </c>
    </row>
    <row r="526" spans="2:4" x14ac:dyDescent="0.35">
      <c r="B526" t="str">
        <v>BR938</v>
      </c>
      <c r="C526">
        <f>COUNTIF(fin_table[],B526)</f>
        <v>2</v>
      </c>
      <c r="D526" s="5">
        <f>SUMIF(fin_table[Branch Code],B526,fin_table[Loan Amount])</f>
        <v>41028.879999999997</v>
      </c>
    </row>
    <row r="527" spans="2:4" x14ac:dyDescent="0.35">
      <c r="B527" t="str">
        <v>BR129</v>
      </c>
      <c r="C527">
        <f>COUNTIF(fin_table[],B527)</f>
        <v>1</v>
      </c>
      <c r="D527" s="5">
        <f>SUMIF(fin_table[Branch Code],B527,fin_table[Loan Amount])</f>
        <v>9708.7000000000007</v>
      </c>
    </row>
    <row r="528" spans="2:4" x14ac:dyDescent="0.35">
      <c r="B528" t="str">
        <v>BR387</v>
      </c>
      <c r="C528">
        <f>COUNTIF(fin_table[],B528)</f>
        <v>1</v>
      </c>
      <c r="D528" s="5">
        <f>SUMIF(fin_table[Branch Code],B528,fin_table[Loan Amount])</f>
        <v>27985.64</v>
      </c>
    </row>
    <row r="529" spans="2:4" x14ac:dyDescent="0.35">
      <c r="B529" t="str">
        <v>BR185</v>
      </c>
      <c r="C529">
        <f>COUNTIF(fin_table[],B529)</f>
        <v>1</v>
      </c>
      <c r="D529" s="5">
        <f>SUMIF(fin_table[Branch Code],B529,fin_table[Loan Amount])</f>
        <v>26681.654999999999</v>
      </c>
    </row>
    <row r="530" spans="2:4" x14ac:dyDescent="0.35">
      <c r="B530" t="str">
        <v>BR333</v>
      </c>
      <c r="C530">
        <f>COUNTIF(fin_table[],B530)</f>
        <v>1</v>
      </c>
      <c r="D530" s="5">
        <f>SUMIF(fin_table[Branch Code],B530,fin_table[Loan Amount])</f>
        <v>26681.654999999999</v>
      </c>
    </row>
    <row r="531" spans="2:4" x14ac:dyDescent="0.35">
      <c r="B531" t="str">
        <v>BR846</v>
      </c>
      <c r="C531">
        <f>COUNTIF(fin_table[],B531)</f>
        <v>2</v>
      </c>
      <c r="D531" s="5">
        <f>SUMIF(fin_table[Branch Code],B531,fin_table[Loan Amount])</f>
        <v>52396.834999999999</v>
      </c>
    </row>
    <row r="532" spans="2:4" x14ac:dyDescent="0.35">
      <c r="B532" t="str">
        <v>BR876</v>
      </c>
      <c r="C532">
        <f>COUNTIF(fin_table[],B532)</f>
        <v>1</v>
      </c>
      <c r="D532" s="5">
        <f>SUMIF(fin_table[Branch Code],B532,fin_table[Loan Amount])</f>
        <v>26681.654999999999</v>
      </c>
    </row>
    <row r="533" spans="2:4" x14ac:dyDescent="0.35">
      <c r="B533" t="str">
        <v>BR368</v>
      </c>
      <c r="C533">
        <f>COUNTIF(fin_table[],B533)</f>
        <v>1</v>
      </c>
      <c r="D533" s="5">
        <f>SUMIF(fin_table[Branch Code],B533,fin_table[Loan Amount])</f>
        <v>14227.48</v>
      </c>
    </row>
    <row r="534" spans="2:4" x14ac:dyDescent="0.35">
      <c r="B534" t="str">
        <v>BR902</v>
      </c>
      <c r="C534">
        <f>COUNTIF(fin_table[],B534)</f>
        <v>1</v>
      </c>
      <c r="D534" s="5">
        <f>SUMIF(fin_table[Branch Code],B534,fin_table[Loan Amount])</f>
        <v>26681.654999999999</v>
      </c>
    </row>
    <row r="535" spans="2:4" x14ac:dyDescent="0.35">
      <c r="B535" t="str">
        <v>BR279</v>
      </c>
      <c r="C535">
        <f>COUNTIF(fin_table[],B535)</f>
        <v>1</v>
      </c>
      <c r="D535" s="5">
        <f>SUMIF(fin_table[Branch Code],B535,fin_table[Loan Amount])</f>
        <v>26681.654999999999</v>
      </c>
    </row>
    <row r="536" spans="2:4" x14ac:dyDescent="0.35">
      <c r="B536" t="str">
        <v>BR579</v>
      </c>
      <c r="C536">
        <f>COUNTIF(fin_table[],B536)</f>
        <v>1</v>
      </c>
      <c r="D536" s="5">
        <f>SUMIF(fin_table[Branch Code],B536,fin_table[Loan Amount])</f>
        <v>16142.85</v>
      </c>
    </row>
    <row r="537" spans="2:4" x14ac:dyDescent="0.35">
      <c r="B537" t="str">
        <v>BR988</v>
      </c>
      <c r="C537">
        <f>COUNTIF(fin_table[],B537)</f>
        <v>1</v>
      </c>
      <c r="D537" s="5">
        <f>SUMIF(fin_table[Branch Code],B537,fin_table[Loan Amount])</f>
        <v>42509.279999999999</v>
      </c>
    </row>
    <row r="538" spans="2:4" x14ac:dyDescent="0.35">
      <c r="B538" t="str">
        <v>BR262</v>
      </c>
      <c r="C538">
        <f>COUNTIF(fin_table[],B538)</f>
        <v>1</v>
      </c>
      <c r="D538" s="5">
        <f>SUMIF(fin_table[Branch Code],B538,fin_table[Loan Amount])</f>
        <v>26681.654999999999</v>
      </c>
    </row>
    <row r="539" spans="2:4" x14ac:dyDescent="0.35">
      <c r="B539" t="str">
        <v>BR987</v>
      </c>
      <c r="C539">
        <f>COUNTIF(fin_table[],B539)</f>
        <v>2</v>
      </c>
      <c r="D539" s="5">
        <f>SUMIF(fin_table[Branch Code],B539,fin_table[Loan Amount])</f>
        <v>15849.02</v>
      </c>
    </row>
    <row r="540" spans="2:4" x14ac:dyDescent="0.35">
      <c r="B540" t="str">
        <v>BR873</v>
      </c>
      <c r="C540">
        <f>COUNTIF(fin_table[],B540)</f>
        <v>1</v>
      </c>
      <c r="D540" s="5">
        <f>SUMIF(fin_table[Branch Code],B540,fin_table[Loan Amount])</f>
        <v>30012.82</v>
      </c>
    </row>
    <row r="541" spans="2:4" x14ac:dyDescent="0.35">
      <c r="B541" t="str">
        <v>BR452</v>
      </c>
      <c r="C541">
        <f>COUNTIF(fin_table[],B541)</f>
        <v>1</v>
      </c>
      <c r="D541" s="5">
        <f>SUMIF(fin_table[Branch Code],B541,fin_table[Loan Amount])</f>
        <v>26681.654999999999</v>
      </c>
    </row>
    <row r="542" spans="2:4" x14ac:dyDescent="0.35">
      <c r="B542" t="str">
        <v>BR899</v>
      </c>
      <c r="C542">
        <f>COUNTIF(fin_table[],B542)</f>
        <v>1</v>
      </c>
      <c r="D542" s="5">
        <f>SUMIF(fin_table[Branch Code],B542,fin_table[Loan Amount])</f>
        <v>26681.654999999999</v>
      </c>
    </row>
    <row r="543" spans="2:4" x14ac:dyDescent="0.35">
      <c r="B543" t="str">
        <v>BR511</v>
      </c>
      <c r="C543">
        <f>COUNTIF(fin_table[],B543)</f>
        <v>1</v>
      </c>
      <c r="D543" s="5">
        <f>SUMIF(fin_table[Branch Code],B543,fin_table[Loan Amount])</f>
        <v>16560.400000000001</v>
      </c>
    </row>
    <row r="544" spans="2:4" x14ac:dyDescent="0.35">
      <c r="B544" t="str">
        <v>BR217</v>
      </c>
      <c r="C544">
        <f>COUNTIF(fin_table[],B544)</f>
        <v>1</v>
      </c>
      <c r="D544" s="5">
        <f>SUMIF(fin_table[Branch Code],B544,fin_table[Loan Amount])</f>
        <v>36080.06</v>
      </c>
    </row>
    <row r="545" spans="2:4" x14ac:dyDescent="0.35">
      <c r="B545" t="str">
        <v>BR690</v>
      </c>
      <c r="C545">
        <f>COUNTIF(fin_table[],B545)</f>
        <v>2</v>
      </c>
      <c r="D545" s="5">
        <f>SUMIF(fin_table[Branch Code],B545,fin_table[Loan Amount])</f>
        <v>54896.26</v>
      </c>
    </row>
    <row r="546" spans="2:4" x14ac:dyDescent="0.35">
      <c r="B546" t="str">
        <v>BR689</v>
      </c>
      <c r="C546">
        <f>COUNTIF(fin_table[],B546)</f>
        <v>2</v>
      </c>
      <c r="D546" s="5">
        <f>SUMIF(fin_table[Branch Code],B546,fin_table[Loan Amount])</f>
        <v>34391.574999999997</v>
      </c>
    </row>
    <row r="547" spans="2:4" x14ac:dyDescent="0.35">
      <c r="B547" t="str">
        <v>BR758</v>
      </c>
      <c r="C547">
        <f>COUNTIF(fin_table[],B547)</f>
        <v>1</v>
      </c>
      <c r="D547" s="5">
        <f>SUMIF(fin_table[Branch Code],B547,fin_table[Loan Amount])</f>
        <v>26681.654999999999</v>
      </c>
    </row>
    <row r="548" spans="2:4" x14ac:dyDescent="0.35">
      <c r="B548" t="str">
        <v>BR206</v>
      </c>
      <c r="C548">
        <f>COUNTIF(fin_table[],B548)</f>
        <v>1</v>
      </c>
      <c r="D548" s="5">
        <f>SUMIF(fin_table[Branch Code],B548,fin_table[Loan Amount])</f>
        <v>10939.23</v>
      </c>
    </row>
    <row r="549" spans="2:4" x14ac:dyDescent="0.35">
      <c r="B549" t="str">
        <v>BR489</v>
      </c>
      <c r="C549">
        <f>COUNTIF(fin_table[],B549)</f>
        <v>1</v>
      </c>
      <c r="D549" s="5">
        <f>SUMIF(fin_table[Branch Code],B549,fin_table[Loan Amount])</f>
        <v>26681.654999999999</v>
      </c>
    </row>
    <row r="550" spans="2:4" x14ac:dyDescent="0.35">
      <c r="B550" t="str">
        <v>BR343</v>
      </c>
      <c r="C550">
        <f>COUNTIF(fin_table[],B550)</f>
        <v>2</v>
      </c>
      <c r="D550" s="5">
        <f>SUMIF(fin_table[Branch Code],B550,fin_table[Loan Amount])</f>
        <v>38363.129999999997</v>
      </c>
    </row>
    <row r="551" spans="2:4" x14ac:dyDescent="0.35">
      <c r="B551" t="str">
        <v>BR567</v>
      </c>
      <c r="C551">
        <f>COUNTIF(fin_table[],B551)</f>
        <v>1</v>
      </c>
      <c r="D551" s="5">
        <f>SUMIF(fin_table[Branch Code],B551,fin_table[Loan Amount])</f>
        <v>18498.830000000002</v>
      </c>
    </row>
    <row r="552" spans="2:4" x14ac:dyDescent="0.35">
      <c r="B552" t="str">
        <v>BR734</v>
      </c>
      <c r="C552">
        <f>COUNTIF(fin_table[],B552)</f>
        <v>1</v>
      </c>
      <c r="D552" s="5">
        <f>SUMIF(fin_table[Branch Code],B552,fin_table[Loan Amount])</f>
        <v>26681.654999999999</v>
      </c>
    </row>
    <row r="553" spans="2:4" x14ac:dyDescent="0.35">
      <c r="B553" t="str">
        <v>BR408</v>
      </c>
      <c r="C553">
        <f>COUNTIF(fin_table[],B553)</f>
        <v>1</v>
      </c>
      <c r="D553" s="5">
        <f>SUMIF(fin_table[Branch Code],B553,fin_table[Loan Amount])</f>
        <v>18226.52</v>
      </c>
    </row>
    <row r="554" spans="2:4" x14ac:dyDescent="0.35">
      <c r="B554" t="str">
        <v>BR795</v>
      </c>
      <c r="C554">
        <f>COUNTIF(fin_table[],B554)</f>
        <v>1</v>
      </c>
      <c r="D554" s="5">
        <f>SUMIF(fin_table[Branch Code],B554,fin_table[Loan Amount])</f>
        <v>26681.654999999999</v>
      </c>
    </row>
    <row r="555" spans="2:4" x14ac:dyDescent="0.35">
      <c r="B555" t="str">
        <v>BR798</v>
      </c>
      <c r="C555">
        <f>COUNTIF(fin_table[],B555)</f>
        <v>1</v>
      </c>
      <c r="D555" s="5">
        <f>SUMIF(fin_table[Branch Code],B555,fin_table[Loan Amount])</f>
        <v>26681.654999999999</v>
      </c>
    </row>
    <row r="556" spans="2:4" x14ac:dyDescent="0.35">
      <c r="B556" t="str">
        <v>BR959</v>
      </c>
      <c r="C556">
        <f>COUNTIF(fin_table[],B556)</f>
        <v>2</v>
      </c>
      <c r="D556" s="5">
        <f>SUMIF(fin_table[Branch Code],B556,fin_table[Loan Amount])</f>
        <v>15940.46</v>
      </c>
    </row>
    <row r="557" spans="2:4" x14ac:dyDescent="0.35">
      <c r="B557" t="str">
        <v>BR886</v>
      </c>
      <c r="C557">
        <f>COUNTIF(fin_table[],B557)</f>
        <v>1</v>
      </c>
      <c r="D557" s="5">
        <f>SUMIF(fin_table[Branch Code],B557,fin_table[Loan Amount])</f>
        <v>26681.654999999999</v>
      </c>
    </row>
    <row r="558" spans="2:4" x14ac:dyDescent="0.35">
      <c r="B558" t="str">
        <v>BR248</v>
      </c>
      <c r="C558">
        <f>COUNTIF(fin_table[],B558)</f>
        <v>1</v>
      </c>
      <c r="D558" s="5">
        <f>SUMIF(fin_table[Branch Code],B558,fin_table[Loan Amount])</f>
        <v>26681.654999999999</v>
      </c>
    </row>
    <row r="559" spans="2:4" x14ac:dyDescent="0.35">
      <c r="B559" t="str">
        <v>BR379</v>
      </c>
      <c r="C559">
        <f>COUNTIF(fin_table[],B559)</f>
        <v>1</v>
      </c>
      <c r="D559" s="5">
        <f>SUMIF(fin_table[Branch Code],B559,fin_table[Loan Amount])</f>
        <v>26681.654999999999</v>
      </c>
    </row>
    <row r="560" spans="2:4" x14ac:dyDescent="0.35">
      <c r="B560" t="str">
        <v>BR784</v>
      </c>
      <c r="C560">
        <f>COUNTIF(fin_table[],B560)</f>
        <v>1</v>
      </c>
      <c r="D560" s="5">
        <f>SUMIF(fin_table[Branch Code],B560,fin_table[Loan Amount])</f>
        <v>26681.654999999999</v>
      </c>
    </row>
    <row r="561" spans="2:4" x14ac:dyDescent="0.35">
      <c r="B561" t="str">
        <v>BR337</v>
      </c>
      <c r="C561">
        <f>COUNTIF(fin_table[],B561)</f>
        <v>1</v>
      </c>
      <c r="D561" s="5">
        <f>SUMIF(fin_table[Branch Code],B561,fin_table[Loan Amount])</f>
        <v>48616.5</v>
      </c>
    </row>
    <row r="562" spans="2:4" x14ac:dyDescent="0.35">
      <c r="B562" t="str">
        <v>BR372</v>
      </c>
      <c r="C562">
        <f>COUNTIF(fin_table[],B562)</f>
        <v>1</v>
      </c>
      <c r="D562" s="5">
        <f>SUMIF(fin_table[Branch Code],B562,fin_table[Loan Amount])</f>
        <v>26681.654999999999</v>
      </c>
    </row>
    <row r="563" spans="2:4" x14ac:dyDescent="0.35">
      <c r="B563" t="str">
        <v>BR143</v>
      </c>
      <c r="C563">
        <f>COUNTIF(fin_table[],B563)</f>
        <v>1</v>
      </c>
      <c r="D563" s="5">
        <f>SUMIF(fin_table[Branch Code],B563,fin_table[Loan Amount])</f>
        <v>26681.654999999999</v>
      </c>
    </row>
    <row r="564" spans="2:4" x14ac:dyDescent="0.35">
      <c r="B564" t="str">
        <v>BR672</v>
      </c>
      <c r="C564">
        <f>COUNTIF(fin_table[],B564)</f>
        <v>1</v>
      </c>
      <c r="D564" s="5">
        <f>SUMIF(fin_table[Branch Code],B564,fin_table[Loan Amount])</f>
        <v>26681.654999999999</v>
      </c>
    </row>
    <row r="565" spans="2:4" x14ac:dyDescent="0.35">
      <c r="B565" t="str">
        <v>BR508</v>
      </c>
      <c r="C565">
        <f>COUNTIF(fin_table[],B565)</f>
        <v>1</v>
      </c>
      <c r="D565" s="5">
        <f>SUMIF(fin_table[Branch Code],B565,fin_table[Loan Amount])</f>
        <v>26681.654999999999</v>
      </c>
    </row>
    <row r="566" spans="2:4" x14ac:dyDescent="0.35">
      <c r="B566" t="str">
        <v>BR422</v>
      </c>
      <c r="C566">
        <f>COUNTIF(fin_table[],B566)</f>
        <v>1</v>
      </c>
      <c r="D566" s="5">
        <f>SUMIF(fin_table[Branch Code],B566,fin_table[Loan Amount])</f>
        <v>26681.654999999999</v>
      </c>
    </row>
    <row r="567" spans="2:4" x14ac:dyDescent="0.35">
      <c r="B567" t="str">
        <v>BR869</v>
      </c>
      <c r="C567">
        <f>COUNTIF(fin_table[],B567)</f>
        <v>1</v>
      </c>
      <c r="D567" s="5">
        <f>SUMIF(fin_table[Branch Code],B567,fin_table[Loan Amount])</f>
        <v>26681.654999999999</v>
      </c>
    </row>
    <row r="568" spans="2:4" x14ac:dyDescent="0.35">
      <c r="B568" t="str">
        <v>BR532</v>
      </c>
      <c r="C568">
        <f>COUNTIF(fin_table[],B568)</f>
        <v>1</v>
      </c>
      <c r="D568" s="5">
        <f>SUMIF(fin_table[Branch Code],B568,fin_table[Loan Amount])</f>
        <v>26681.654999999999</v>
      </c>
    </row>
    <row r="569" spans="2:4" x14ac:dyDescent="0.35">
      <c r="B569" t="str">
        <v>BR893</v>
      </c>
      <c r="C569">
        <f>COUNTIF(fin_table[],B569)</f>
        <v>1</v>
      </c>
      <c r="D569" s="5">
        <f>SUMIF(fin_table[Branch Code],B569,fin_table[Loan Amount])</f>
        <v>26681.654999999999</v>
      </c>
    </row>
    <row r="570" spans="2:4" x14ac:dyDescent="0.35">
      <c r="B570" t="str">
        <v>BR638</v>
      </c>
      <c r="C570">
        <f>COUNTIF(fin_table[],B570)</f>
        <v>1</v>
      </c>
      <c r="D570" s="5">
        <f>SUMIF(fin_table[Branch Code],B570,fin_table[Loan Amount])</f>
        <v>23348.31</v>
      </c>
    </row>
    <row r="571" spans="2:4" x14ac:dyDescent="0.35">
      <c r="B571" t="str">
        <v>BR288</v>
      </c>
      <c r="C571">
        <f>COUNTIF(fin_table[],B571)</f>
        <v>1</v>
      </c>
      <c r="D571" s="5">
        <f>SUMIF(fin_table[Branch Code],B571,fin_table[Loan Amount])</f>
        <v>45367.13</v>
      </c>
    </row>
    <row r="572" spans="2:4" x14ac:dyDescent="0.35">
      <c r="B572" t="str">
        <v>BR339</v>
      </c>
      <c r="C572">
        <f>COUNTIF(fin_table[],B572)</f>
        <v>2</v>
      </c>
      <c r="D572" s="5">
        <f>SUMIF(fin_table[Branch Code],B572,fin_table[Loan Amount])</f>
        <v>53363.31</v>
      </c>
    </row>
    <row r="573" spans="2:4" x14ac:dyDescent="0.35">
      <c r="B573" t="str">
        <v>BR970</v>
      </c>
      <c r="C573">
        <f>COUNTIF(fin_table[],B573)</f>
        <v>1</v>
      </c>
      <c r="D573" s="5">
        <f>SUMIF(fin_table[Branch Code],B573,fin_table[Loan Amount])</f>
        <v>22048.23</v>
      </c>
    </row>
    <row r="574" spans="2:4" x14ac:dyDescent="0.35">
      <c r="B574" t="str">
        <v>BR998</v>
      </c>
      <c r="C574">
        <f>COUNTIF(fin_table[],B574)</f>
        <v>2</v>
      </c>
      <c r="D574" s="5">
        <f>SUMIF(fin_table[Branch Code],B574,fin_table[Loan Amount])</f>
        <v>23315.47</v>
      </c>
    </row>
    <row r="575" spans="2:4" x14ac:dyDescent="0.35">
      <c r="B575" t="str">
        <v>BR602</v>
      </c>
      <c r="C575">
        <f>COUNTIF(fin_table[],B575)</f>
        <v>1</v>
      </c>
      <c r="D575" s="5">
        <f>SUMIF(fin_table[Branch Code],B575,fin_table[Loan Amount])</f>
        <v>26681.654999999999</v>
      </c>
    </row>
    <row r="576" spans="2:4" x14ac:dyDescent="0.35">
      <c r="B576" t="str">
        <v>BR908</v>
      </c>
      <c r="C576">
        <f>COUNTIF(fin_table[],B576)</f>
        <v>1</v>
      </c>
      <c r="D576" s="5">
        <f>SUMIF(fin_table[Branch Code],B576,fin_table[Loan Amount])</f>
        <v>37475.980000000003</v>
      </c>
    </row>
    <row r="577" spans="2:4" x14ac:dyDescent="0.35">
      <c r="B577" t="str">
        <v>BR438</v>
      </c>
      <c r="C577">
        <f>COUNTIF(fin_table[],B577)</f>
        <v>2</v>
      </c>
      <c r="D577" s="5">
        <f>SUMIF(fin_table[Branch Code],B577,fin_table[Loan Amount])</f>
        <v>53363.31</v>
      </c>
    </row>
    <row r="578" spans="2:4" x14ac:dyDescent="0.35">
      <c r="B578" t="str">
        <v>BR360</v>
      </c>
      <c r="C578">
        <f>COUNTIF(fin_table[],B578)</f>
        <v>1</v>
      </c>
      <c r="D578" s="5">
        <f>SUMIF(fin_table[Branch Code],B578,fin_table[Loan Amount])</f>
        <v>45774.39</v>
      </c>
    </row>
    <row r="579" spans="2:4" x14ac:dyDescent="0.35">
      <c r="B579" t="str">
        <v>BR791</v>
      </c>
      <c r="C579">
        <f>COUNTIF(fin_table[],B579)</f>
        <v>1</v>
      </c>
      <c r="D579" s="5">
        <f>SUMIF(fin_table[Branch Code],B579,fin_table[Loan Amount])</f>
        <v>36003.01</v>
      </c>
    </row>
    <row r="580" spans="2:4" x14ac:dyDescent="0.35">
      <c r="B580" t="str">
        <v>BR861</v>
      </c>
      <c r="C580">
        <f>COUNTIF(fin_table[],B580)</f>
        <v>1</v>
      </c>
      <c r="D580" s="5">
        <f>SUMIF(fin_table[Branch Code],B580,fin_table[Loan Amount])</f>
        <v>12872.57</v>
      </c>
    </row>
    <row r="581" spans="2:4" x14ac:dyDescent="0.35">
      <c r="B581" t="str">
        <v>BR571</v>
      </c>
      <c r="C581">
        <f>COUNTIF(fin_table[],B581)</f>
        <v>1</v>
      </c>
      <c r="D581" s="5">
        <f>SUMIF(fin_table[Branch Code],B581,fin_table[Loan Amount])</f>
        <v>26681.654999999999</v>
      </c>
    </row>
    <row r="582" spans="2:4" x14ac:dyDescent="0.35">
      <c r="B582" t="str">
        <v>BR395</v>
      </c>
      <c r="C582">
        <f>COUNTIF(fin_table[],B582)</f>
        <v>1</v>
      </c>
      <c r="D582" s="5">
        <f>SUMIF(fin_table[Branch Code],B582,fin_table[Loan Amount])</f>
        <v>26681.654999999999</v>
      </c>
    </row>
    <row r="583" spans="2:4" x14ac:dyDescent="0.35">
      <c r="B583" t="str">
        <v>BR105</v>
      </c>
      <c r="C583">
        <f>COUNTIF(fin_table[],B583)</f>
        <v>1</v>
      </c>
      <c r="D583" s="5">
        <f>SUMIF(fin_table[Branch Code],B583,fin_table[Loan Amount])</f>
        <v>26681.654999999999</v>
      </c>
    </row>
    <row r="584" spans="2:4" x14ac:dyDescent="0.35">
      <c r="B584" t="str">
        <v>BR967</v>
      </c>
      <c r="C584">
        <f>COUNTIF(fin_table[],B584)</f>
        <v>1</v>
      </c>
      <c r="D584" s="5">
        <f>SUMIF(fin_table[Branch Code],B584,fin_table[Loan Amount])</f>
        <v>15005.89</v>
      </c>
    </row>
    <row r="585" spans="2:4" x14ac:dyDescent="0.35">
      <c r="B585" t="str">
        <v>BR302</v>
      </c>
      <c r="C585">
        <f>COUNTIF(fin_table[],B585)</f>
        <v>1</v>
      </c>
      <c r="D585" s="5">
        <f>SUMIF(fin_table[Branch Code],B585,fin_table[Loan Amount])</f>
        <v>11326.32</v>
      </c>
    </row>
    <row r="586" spans="2:4" x14ac:dyDescent="0.35">
      <c r="B586" t="str">
        <v>BR884</v>
      </c>
      <c r="C586">
        <f>COUNTIF(fin_table[],B586)</f>
        <v>1</v>
      </c>
      <c r="D586" s="5">
        <f>SUMIF(fin_table[Branch Code],B586,fin_table[Loan Amount])</f>
        <v>26681.654999999999</v>
      </c>
    </row>
    <row r="587" spans="2:4" x14ac:dyDescent="0.35">
      <c r="B587" t="str">
        <v>BR426</v>
      </c>
      <c r="C587">
        <f>COUNTIF(fin_table[],B587)</f>
        <v>1</v>
      </c>
      <c r="D587" s="5">
        <f>SUMIF(fin_table[Branch Code],B587,fin_table[Loan Amount])</f>
        <v>26681.654999999999</v>
      </c>
    </row>
    <row r="588" spans="2:4" x14ac:dyDescent="0.35">
      <c r="B588" t="str">
        <v>BR860</v>
      </c>
      <c r="C588">
        <f>COUNTIF(fin_table[],B588)</f>
        <v>3</v>
      </c>
      <c r="D588" s="5">
        <f>SUMIF(fin_table[Branch Code],B588,fin_table[Loan Amount])</f>
        <v>58151.854999999996</v>
      </c>
    </row>
    <row r="589" spans="2:4" x14ac:dyDescent="0.35">
      <c r="B589" t="str">
        <v>BR441</v>
      </c>
      <c r="C589">
        <f>COUNTIF(fin_table[],B589)</f>
        <v>1</v>
      </c>
      <c r="D589" s="5">
        <f>SUMIF(fin_table[Branch Code],B589,fin_table[Loan Amount])</f>
        <v>26681.654999999999</v>
      </c>
    </row>
    <row r="590" spans="2:4" x14ac:dyDescent="0.35">
      <c r="B590" t="str">
        <v>BR891</v>
      </c>
      <c r="C590">
        <f>COUNTIF(fin_table[],B590)</f>
        <v>2</v>
      </c>
      <c r="D590" s="5">
        <f>SUMIF(fin_table[Branch Code],B590,fin_table[Loan Amount])</f>
        <v>53363.31</v>
      </c>
    </row>
    <row r="591" spans="2:4" x14ac:dyDescent="0.35">
      <c r="B591" t="str">
        <v>BR871</v>
      </c>
      <c r="C591">
        <f>COUNTIF(fin_table[],B591)</f>
        <v>1</v>
      </c>
      <c r="D591" s="5">
        <f>SUMIF(fin_table[Branch Code],B591,fin_table[Loan Amount])</f>
        <v>42910.6</v>
      </c>
    </row>
    <row r="592" spans="2:4" x14ac:dyDescent="0.35">
      <c r="B592" t="str">
        <v>BR145</v>
      </c>
      <c r="C592">
        <f>COUNTIF(fin_table[],B592)</f>
        <v>1</v>
      </c>
      <c r="D592" s="5">
        <f>SUMIF(fin_table[Branch Code],B592,fin_table[Loan Amount])</f>
        <v>9205.43</v>
      </c>
    </row>
    <row r="593" spans="2:4" x14ac:dyDescent="0.35">
      <c r="B593" t="str">
        <v>BR654</v>
      </c>
      <c r="C593">
        <f>COUNTIF(fin_table[],B593)</f>
        <v>1</v>
      </c>
      <c r="D593" s="5">
        <f>SUMIF(fin_table[Branch Code],B593,fin_table[Loan Amount])</f>
        <v>26681.654999999999</v>
      </c>
    </row>
    <row r="594" spans="2:4" x14ac:dyDescent="0.35">
      <c r="B594" t="str">
        <v>BR960</v>
      </c>
      <c r="C594">
        <f>COUNTIF(fin_table[],B594)</f>
        <v>1</v>
      </c>
      <c r="D594" s="5">
        <f>SUMIF(fin_table[Branch Code],B594,fin_table[Loan Amount])</f>
        <v>23809.919999999998</v>
      </c>
    </row>
    <row r="595" spans="2:4" x14ac:dyDescent="0.35">
      <c r="B595" t="str">
        <v>BR714</v>
      </c>
      <c r="C595">
        <f>COUNTIF(fin_table[],B595)</f>
        <v>1</v>
      </c>
      <c r="D595" s="5">
        <f>SUMIF(fin_table[Branch Code],B595,fin_table[Loan Amount])</f>
        <v>26681.654999999999</v>
      </c>
    </row>
    <row r="596" spans="2:4" x14ac:dyDescent="0.35">
      <c r="B596" t="str">
        <v>BR223</v>
      </c>
      <c r="C596">
        <f>COUNTIF(fin_table[],B596)</f>
        <v>1</v>
      </c>
      <c r="D596" s="5">
        <f>SUMIF(fin_table[Branch Code],B596,fin_table[Loan Amount])</f>
        <v>26681.654999999999</v>
      </c>
    </row>
    <row r="597" spans="2:4" x14ac:dyDescent="0.35">
      <c r="B597" t="str">
        <v>BR642</v>
      </c>
      <c r="C597">
        <f>COUNTIF(fin_table[],B597)</f>
        <v>1</v>
      </c>
      <c r="D597" s="5">
        <f>SUMIF(fin_table[Branch Code],B597,fin_table[Loan Amount])</f>
        <v>8104.43</v>
      </c>
    </row>
    <row r="598" spans="2:4" x14ac:dyDescent="0.35">
      <c r="B598" t="str">
        <v>BR985</v>
      </c>
      <c r="C598">
        <f>COUNTIF(fin_table[],B598)</f>
        <v>1</v>
      </c>
      <c r="D598" s="5">
        <f>SUMIF(fin_table[Branch Code],B598,fin_table[Loan Amount])</f>
        <v>26681.654999999999</v>
      </c>
    </row>
    <row r="599" spans="2:4" x14ac:dyDescent="0.35">
      <c r="B599" t="str">
        <v>BR316</v>
      </c>
      <c r="C599">
        <f>COUNTIF(fin_table[],B599)</f>
        <v>1</v>
      </c>
      <c r="D599" s="5">
        <f>SUMIF(fin_table[Branch Code],B599,fin_table[Loan Amount])</f>
        <v>27066.11</v>
      </c>
    </row>
    <row r="600" spans="2:4" x14ac:dyDescent="0.35">
      <c r="B600" t="str">
        <v>BR101</v>
      </c>
      <c r="C600">
        <f>COUNTIF(fin_table[],B600)</f>
        <v>1</v>
      </c>
      <c r="D600" s="5">
        <f>SUMIF(fin_table[Branch Code],B600,fin_table[Loan Amount])</f>
        <v>39773.49</v>
      </c>
    </row>
    <row r="601" spans="2:4" x14ac:dyDescent="0.35">
      <c r="B601" t="str">
        <v>BR635</v>
      </c>
      <c r="C601">
        <f>COUNTIF(fin_table[],B601)</f>
        <v>1</v>
      </c>
      <c r="D601" s="5">
        <f>SUMIF(fin_table[Branch Code],B601,fin_table[Loan Amount])</f>
        <v>12577.34</v>
      </c>
    </row>
    <row r="602" spans="2:4" x14ac:dyDescent="0.35">
      <c r="B602" t="str">
        <v>BR725</v>
      </c>
      <c r="C602">
        <f>COUNTIF(fin_table[],B602)</f>
        <v>1</v>
      </c>
      <c r="D602" s="5">
        <f>SUMIF(fin_table[Branch Code],B602,fin_table[Loan Amount])</f>
        <v>26681.654999999999</v>
      </c>
    </row>
    <row r="603" spans="2:4" x14ac:dyDescent="0.35">
      <c r="B603" t="str">
        <v>BR833</v>
      </c>
      <c r="C603">
        <f>COUNTIF(fin_table[],B603)</f>
        <v>1</v>
      </c>
      <c r="D603" s="5">
        <f>SUMIF(fin_table[Branch Code],B603,fin_table[Loan Amount])</f>
        <v>16365.25</v>
      </c>
    </row>
    <row r="604" spans="2:4" x14ac:dyDescent="0.35">
      <c r="B604" t="str">
        <v>BR190</v>
      </c>
      <c r="C604">
        <f>COUNTIF(fin_table[],B604)</f>
        <v>1</v>
      </c>
      <c r="D604" s="5">
        <f>SUMIF(fin_table[Branch Code],B604,fin_table[Loan Amount])</f>
        <v>21752.58</v>
      </c>
    </row>
    <row r="605" spans="2:4" x14ac:dyDescent="0.35">
      <c r="B605" t="str">
        <v>BR381</v>
      </c>
      <c r="C605">
        <f>COUNTIF(fin_table[],B605)</f>
        <v>1</v>
      </c>
      <c r="D605" s="5">
        <f>SUMIF(fin_table[Branch Code],B605,fin_table[Loan Amount])</f>
        <v>26681.654999999999</v>
      </c>
    </row>
    <row r="606" spans="2:4" x14ac:dyDescent="0.35">
      <c r="B606" t="str">
        <v>BR494</v>
      </c>
      <c r="C606">
        <f>COUNTIF(fin_table[],B606)</f>
        <v>1</v>
      </c>
      <c r="D606" s="5">
        <f>SUMIF(fin_table[Branch Code],B606,fin_table[Loan Amount])</f>
        <v>26681.654999999999</v>
      </c>
    </row>
    <row r="607" spans="2:4" x14ac:dyDescent="0.35">
      <c r="B607" t="str">
        <v>BR775</v>
      </c>
      <c r="C607">
        <f>COUNTIF(fin_table[],B607)</f>
        <v>1</v>
      </c>
      <c r="D607" s="5">
        <f>SUMIF(fin_table[Branch Code],B607,fin_table[Loan Amount])</f>
        <v>26681.654999999999</v>
      </c>
    </row>
    <row r="608" spans="2:4" x14ac:dyDescent="0.35">
      <c r="B608" t="str">
        <v>BR632</v>
      </c>
      <c r="C608">
        <f>COUNTIF(fin_table[],B608)</f>
        <v>1</v>
      </c>
      <c r="D608" s="5">
        <f>SUMIF(fin_table[Branch Code],B608,fin_table[Loan Amount])</f>
        <v>24883.16</v>
      </c>
    </row>
    <row r="609" spans="2:4" x14ac:dyDescent="0.35">
      <c r="B609" t="str">
        <v>BR240</v>
      </c>
      <c r="C609">
        <f>COUNTIF(fin_table[],B609)</f>
        <v>1</v>
      </c>
      <c r="D609" s="5">
        <f>SUMIF(fin_table[Branch Code],B609,fin_table[Loan Amount])</f>
        <v>26681.654999999999</v>
      </c>
    </row>
    <row r="610" spans="2:4" x14ac:dyDescent="0.35">
      <c r="B610" t="str">
        <v>BR558</v>
      </c>
      <c r="C610">
        <f>COUNTIF(fin_table[],B610)</f>
        <v>1</v>
      </c>
      <c r="D610" s="5">
        <f>SUMIF(fin_table[Branch Code],B610,fin_table[Loan Amount])</f>
        <v>26681.654999999999</v>
      </c>
    </row>
    <row r="611" spans="2:4" x14ac:dyDescent="0.35">
      <c r="B611" t="str">
        <v>BR169</v>
      </c>
      <c r="C611">
        <f>COUNTIF(fin_table[],B611)</f>
        <v>1</v>
      </c>
      <c r="D611" s="5">
        <f>SUMIF(fin_table[Branch Code],B611,fin_table[Loan Amount])</f>
        <v>39624.65</v>
      </c>
    </row>
    <row r="612" spans="2:4" x14ac:dyDescent="0.35">
      <c r="B612" t="str">
        <v>BR484</v>
      </c>
      <c r="C612">
        <f>COUNTIF(fin_table[],B612)</f>
        <v>1</v>
      </c>
      <c r="D612" s="5">
        <f>SUMIF(fin_table[Branch Code],B612,fin_table[Loan Amount])</f>
        <v>26681.654999999999</v>
      </c>
    </row>
    <row r="613" spans="2:4" x14ac:dyDescent="0.35">
      <c r="B613" t="str">
        <v>BR297</v>
      </c>
      <c r="C613">
        <f>COUNTIF(fin_table[],B613)</f>
        <v>1</v>
      </c>
      <c r="D613" s="5">
        <f>SUMIF(fin_table[Branch Code],B613,fin_table[Loan Amount])</f>
        <v>35988.230000000003</v>
      </c>
    </row>
    <row r="614" spans="2:4" x14ac:dyDescent="0.35">
      <c r="D614" s="5"/>
    </row>
    <row r="615" spans="2:4" x14ac:dyDescent="0.35">
      <c r="D615" s="5"/>
    </row>
    <row r="616" spans="2:4" x14ac:dyDescent="0.35">
      <c r="D616" s="5"/>
    </row>
    <row r="617" spans="2:4" x14ac:dyDescent="0.35">
      <c r="D617" s="5"/>
    </row>
    <row r="618" spans="2:4" x14ac:dyDescent="0.35">
      <c r="D618" s="5"/>
    </row>
    <row r="619" spans="2:4" x14ac:dyDescent="0.35">
      <c r="D619" s="5"/>
    </row>
    <row r="620" spans="2:4" x14ac:dyDescent="0.35">
      <c r="D620" s="5"/>
    </row>
    <row r="621" spans="2:4" x14ac:dyDescent="0.35">
      <c r="D621" s="5"/>
    </row>
    <row r="622" spans="2:4" x14ac:dyDescent="0.35">
      <c r="D622" s="5"/>
    </row>
    <row r="623" spans="2:4" x14ac:dyDescent="0.35">
      <c r="D623" s="5"/>
    </row>
    <row r="624" spans="2:4" x14ac:dyDescent="0.35">
      <c r="D624" s="5"/>
    </row>
    <row r="625" spans="4:4" x14ac:dyDescent="0.35">
      <c r="D625" s="5"/>
    </row>
    <row r="626" spans="4:4" x14ac:dyDescent="0.35">
      <c r="D626" s="5"/>
    </row>
    <row r="627" spans="4:4" x14ac:dyDescent="0.35">
      <c r="D627" s="5"/>
    </row>
    <row r="628" spans="4:4" x14ac:dyDescent="0.35">
      <c r="D628" s="5"/>
    </row>
    <row r="629" spans="4:4" x14ac:dyDescent="0.35">
      <c r="D629" s="5"/>
    </row>
    <row r="630" spans="4:4" x14ac:dyDescent="0.35">
      <c r="D630" s="5"/>
    </row>
    <row r="631" spans="4:4" x14ac:dyDescent="0.35">
      <c r="D631" s="5"/>
    </row>
    <row r="632" spans="4:4" x14ac:dyDescent="0.35">
      <c r="D632" s="5"/>
    </row>
    <row r="633" spans="4:4" x14ac:dyDescent="0.35">
      <c r="D633" s="5"/>
    </row>
    <row r="634" spans="4:4" x14ac:dyDescent="0.35">
      <c r="D634" s="5"/>
    </row>
    <row r="635" spans="4:4" x14ac:dyDescent="0.35">
      <c r="D635" s="5"/>
    </row>
    <row r="636" spans="4:4" x14ac:dyDescent="0.35">
      <c r="D636" s="5"/>
    </row>
    <row r="637" spans="4:4" x14ac:dyDescent="0.35">
      <c r="D637" s="5"/>
    </row>
    <row r="638" spans="4:4" x14ac:dyDescent="0.35">
      <c r="D638" s="5"/>
    </row>
    <row r="639" spans="4:4" x14ac:dyDescent="0.35">
      <c r="D639" s="5"/>
    </row>
    <row r="640" spans="4:4" x14ac:dyDescent="0.35">
      <c r="D640" s="5"/>
    </row>
    <row r="641" spans="4:4" x14ac:dyDescent="0.35">
      <c r="D641" s="5"/>
    </row>
    <row r="642" spans="4:4" x14ac:dyDescent="0.35">
      <c r="D642" s="5"/>
    </row>
    <row r="643" spans="4:4" x14ac:dyDescent="0.35">
      <c r="D643" s="5"/>
    </row>
    <row r="644" spans="4:4" x14ac:dyDescent="0.35">
      <c r="D644" s="5"/>
    </row>
    <row r="645" spans="4:4" x14ac:dyDescent="0.35">
      <c r="D645" s="5"/>
    </row>
    <row r="646" spans="4:4" x14ac:dyDescent="0.35">
      <c r="D646" s="5"/>
    </row>
    <row r="647" spans="4:4" x14ac:dyDescent="0.35">
      <c r="D647" s="5"/>
    </row>
    <row r="648" spans="4:4" x14ac:dyDescent="0.35">
      <c r="D648" s="5"/>
    </row>
    <row r="649" spans="4:4" x14ac:dyDescent="0.35">
      <c r="D649" s="5"/>
    </row>
    <row r="650" spans="4:4" x14ac:dyDescent="0.35">
      <c r="D650" s="5"/>
    </row>
    <row r="651" spans="4:4" x14ac:dyDescent="0.35">
      <c r="D651" s="5"/>
    </row>
    <row r="652" spans="4:4" x14ac:dyDescent="0.35">
      <c r="D652" s="5"/>
    </row>
    <row r="653" spans="4:4" x14ac:dyDescent="0.35">
      <c r="D653" s="5"/>
    </row>
    <row r="654" spans="4:4" x14ac:dyDescent="0.35">
      <c r="D654" s="5"/>
    </row>
    <row r="655" spans="4:4" x14ac:dyDescent="0.35">
      <c r="D655" s="5"/>
    </row>
    <row r="656" spans="4:4" x14ac:dyDescent="0.35">
      <c r="D656" s="5"/>
    </row>
    <row r="657" spans="4:4" x14ac:dyDescent="0.35">
      <c r="D657" s="5"/>
    </row>
    <row r="658" spans="4:4" x14ac:dyDescent="0.35">
      <c r="D658" s="5"/>
    </row>
    <row r="659" spans="4:4" x14ac:dyDescent="0.35">
      <c r="D659" s="5"/>
    </row>
    <row r="660" spans="4:4" x14ac:dyDescent="0.35">
      <c r="D660" s="5"/>
    </row>
    <row r="661" spans="4:4" x14ac:dyDescent="0.35">
      <c r="D661" s="5"/>
    </row>
    <row r="662" spans="4:4" x14ac:dyDescent="0.35">
      <c r="D662" s="5"/>
    </row>
    <row r="663" spans="4:4" x14ac:dyDescent="0.35">
      <c r="D663" s="5"/>
    </row>
    <row r="664" spans="4:4" x14ac:dyDescent="0.35">
      <c r="D664" s="5"/>
    </row>
    <row r="665" spans="4:4" x14ac:dyDescent="0.35">
      <c r="D665" s="5"/>
    </row>
    <row r="666" spans="4:4" x14ac:dyDescent="0.35">
      <c r="D666" s="5"/>
    </row>
    <row r="667" spans="4:4" x14ac:dyDescent="0.35">
      <c r="D667" s="5"/>
    </row>
    <row r="668" spans="4:4" x14ac:dyDescent="0.35">
      <c r="D668" s="5"/>
    </row>
    <row r="669" spans="4:4" x14ac:dyDescent="0.35">
      <c r="D669" s="5"/>
    </row>
    <row r="670" spans="4:4" x14ac:dyDescent="0.35">
      <c r="D670" s="5"/>
    </row>
    <row r="671" spans="4:4" x14ac:dyDescent="0.35">
      <c r="D671" s="5"/>
    </row>
    <row r="672" spans="4:4" x14ac:dyDescent="0.35">
      <c r="D672" s="5"/>
    </row>
    <row r="673" spans="4:4" x14ac:dyDescent="0.35">
      <c r="D673" s="5"/>
    </row>
    <row r="674" spans="4:4" x14ac:dyDescent="0.35">
      <c r="D674" s="5"/>
    </row>
    <row r="675" spans="4:4" x14ac:dyDescent="0.35">
      <c r="D675" s="5"/>
    </row>
    <row r="676" spans="4:4" x14ac:dyDescent="0.35">
      <c r="D676" s="5"/>
    </row>
    <row r="677" spans="4:4" x14ac:dyDescent="0.35">
      <c r="D677" s="5"/>
    </row>
    <row r="678" spans="4:4" x14ac:dyDescent="0.35">
      <c r="D678" s="5"/>
    </row>
    <row r="679" spans="4:4" x14ac:dyDescent="0.35">
      <c r="D679" s="5"/>
    </row>
    <row r="680" spans="4:4" x14ac:dyDescent="0.35">
      <c r="D680" s="5"/>
    </row>
    <row r="681" spans="4:4" x14ac:dyDescent="0.35">
      <c r="D681" s="5"/>
    </row>
    <row r="682" spans="4:4" x14ac:dyDescent="0.35">
      <c r="D682" s="5"/>
    </row>
    <row r="683" spans="4:4" x14ac:dyDescent="0.35">
      <c r="D683" s="5"/>
    </row>
    <row r="684" spans="4:4" x14ac:dyDescent="0.35">
      <c r="D684" s="5"/>
    </row>
    <row r="685" spans="4:4" x14ac:dyDescent="0.35">
      <c r="D685" s="5"/>
    </row>
    <row r="686" spans="4:4" x14ac:dyDescent="0.35">
      <c r="D686" s="5"/>
    </row>
    <row r="687" spans="4:4" x14ac:dyDescent="0.35">
      <c r="D687" s="5"/>
    </row>
    <row r="688" spans="4:4" x14ac:dyDescent="0.35">
      <c r="D688" s="5"/>
    </row>
    <row r="689" spans="4:4" x14ac:dyDescent="0.35">
      <c r="D689" s="5"/>
    </row>
    <row r="690" spans="4:4" x14ac:dyDescent="0.35">
      <c r="D690" s="5"/>
    </row>
    <row r="691" spans="4:4" x14ac:dyDescent="0.35">
      <c r="D691" s="5"/>
    </row>
    <row r="692" spans="4:4" x14ac:dyDescent="0.35">
      <c r="D692" s="5"/>
    </row>
    <row r="693" spans="4:4" x14ac:dyDescent="0.35">
      <c r="D693" s="5"/>
    </row>
    <row r="694" spans="4:4" x14ac:dyDescent="0.35">
      <c r="D694" s="5"/>
    </row>
    <row r="695" spans="4:4" x14ac:dyDescent="0.35">
      <c r="D695" s="5"/>
    </row>
    <row r="696" spans="4:4" x14ac:dyDescent="0.35">
      <c r="D696" s="5"/>
    </row>
    <row r="697" spans="4:4" x14ac:dyDescent="0.35">
      <c r="D697" s="5"/>
    </row>
    <row r="698" spans="4:4" x14ac:dyDescent="0.35">
      <c r="D698" s="5"/>
    </row>
    <row r="699" spans="4:4" x14ac:dyDescent="0.35">
      <c r="D699" s="5"/>
    </row>
    <row r="700" spans="4:4" x14ac:dyDescent="0.35">
      <c r="D700" s="5"/>
    </row>
    <row r="701" spans="4:4" x14ac:dyDescent="0.35">
      <c r="D701" s="5"/>
    </row>
    <row r="702" spans="4:4" x14ac:dyDescent="0.35">
      <c r="D702" s="5"/>
    </row>
    <row r="703" spans="4:4" x14ac:dyDescent="0.35">
      <c r="D703" s="5"/>
    </row>
    <row r="704" spans="4:4" x14ac:dyDescent="0.35">
      <c r="D704" s="5"/>
    </row>
    <row r="705" spans="4:4" x14ac:dyDescent="0.35">
      <c r="D705" s="5"/>
    </row>
    <row r="706" spans="4:4" x14ac:dyDescent="0.35">
      <c r="D706" s="5"/>
    </row>
    <row r="707" spans="4:4" x14ac:dyDescent="0.35">
      <c r="D707" s="5"/>
    </row>
    <row r="708" spans="4:4" x14ac:dyDescent="0.35">
      <c r="D708" s="5"/>
    </row>
    <row r="709" spans="4:4" x14ac:dyDescent="0.35">
      <c r="D709" s="5"/>
    </row>
    <row r="710" spans="4:4" x14ac:dyDescent="0.35">
      <c r="D710" s="5"/>
    </row>
    <row r="711" spans="4:4" x14ac:dyDescent="0.35">
      <c r="D711" s="5"/>
    </row>
    <row r="712" spans="4:4" x14ac:dyDescent="0.35">
      <c r="D712" s="5"/>
    </row>
    <row r="713" spans="4:4" x14ac:dyDescent="0.35">
      <c r="D713" s="5"/>
    </row>
    <row r="714" spans="4:4" x14ac:dyDescent="0.35">
      <c r="D714" s="5"/>
    </row>
    <row r="715" spans="4:4" x14ac:dyDescent="0.35">
      <c r="D715" s="5"/>
    </row>
    <row r="716" spans="4:4" x14ac:dyDescent="0.35">
      <c r="D716" s="5"/>
    </row>
    <row r="717" spans="4:4" x14ac:dyDescent="0.35">
      <c r="D717" s="5"/>
    </row>
    <row r="718" spans="4:4" x14ac:dyDescent="0.35">
      <c r="D718" s="5"/>
    </row>
    <row r="719" spans="4:4" x14ac:dyDescent="0.35">
      <c r="D719" s="5"/>
    </row>
    <row r="720" spans="4:4" x14ac:dyDescent="0.35">
      <c r="D720" s="5"/>
    </row>
    <row r="721" spans="4:4" x14ac:dyDescent="0.35">
      <c r="D721" s="5"/>
    </row>
    <row r="722" spans="4:4" x14ac:dyDescent="0.35">
      <c r="D722" s="5"/>
    </row>
    <row r="723" spans="4:4" x14ac:dyDescent="0.35">
      <c r="D723" s="5"/>
    </row>
    <row r="724" spans="4:4" x14ac:dyDescent="0.35">
      <c r="D724" s="5"/>
    </row>
    <row r="725" spans="4:4" x14ac:dyDescent="0.35">
      <c r="D725" s="5"/>
    </row>
    <row r="726" spans="4:4" x14ac:dyDescent="0.35">
      <c r="D726" s="5"/>
    </row>
    <row r="727" spans="4:4" x14ac:dyDescent="0.35">
      <c r="D727" s="5"/>
    </row>
    <row r="728" spans="4:4" x14ac:dyDescent="0.35">
      <c r="D728" s="5"/>
    </row>
    <row r="729" spans="4:4" x14ac:dyDescent="0.35">
      <c r="D729" s="5"/>
    </row>
    <row r="730" spans="4:4" x14ac:dyDescent="0.35">
      <c r="D730" s="5"/>
    </row>
    <row r="731" spans="4:4" x14ac:dyDescent="0.35">
      <c r="D731" s="5"/>
    </row>
    <row r="732" spans="4:4" x14ac:dyDescent="0.35">
      <c r="D732" s="5"/>
    </row>
    <row r="733" spans="4:4" x14ac:dyDescent="0.35">
      <c r="D733" s="5"/>
    </row>
    <row r="734" spans="4:4" x14ac:dyDescent="0.35">
      <c r="D734" s="5"/>
    </row>
    <row r="735" spans="4:4" x14ac:dyDescent="0.35">
      <c r="D735" s="5"/>
    </row>
    <row r="736" spans="4:4" x14ac:dyDescent="0.35">
      <c r="D736" s="5"/>
    </row>
    <row r="737" spans="4:4" x14ac:dyDescent="0.35">
      <c r="D737" s="5"/>
    </row>
    <row r="738" spans="4:4" x14ac:dyDescent="0.35">
      <c r="D738" s="5"/>
    </row>
    <row r="739" spans="4:4" x14ac:dyDescent="0.35">
      <c r="D739" s="5"/>
    </row>
    <row r="740" spans="4:4" x14ac:dyDescent="0.35">
      <c r="D740" s="5"/>
    </row>
    <row r="741" spans="4:4" x14ac:dyDescent="0.35">
      <c r="D741" s="5"/>
    </row>
    <row r="742" spans="4:4" x14ac:dyDescent="0.35">
      <c r="D742" s="5"/>
    </row>
    <row r="743" spans="4:4" x14ac:dyDescent="0.35">
      <c r="D743" s="5"/>
    </row>
    <row r="744" spans="4:4" x14ac:dyDescent="0.35">
      <c r="D744" s="5"/>
    </row>
    <row r="745" spans="4:4" x14ac:dyDescent="0.35">
      <c r="D745" s="5"/>
    </row>
    <row r="746" spans="4:4" x14ac:dyDescent="0.35">
      <c r="D746" s="5"/>
    </row>
    <row r="747" spans="4:4" x14ac:dyDescent="0.35">
      <c r="D747" s="5"/>
    </row>
    <row r="748" spans="4:4" x14ac:dyDescent="0.35">
      <c r="D748" s="5"/>
    </row>
    <row r="749" spans="4:4" x14ac:dyDescent="0.35">
      <c r="D749" s="5"/>
    </row>
    <row r="750" spans="4:4" x14ac:dyDescent="0.35">
      <c r="D750" s="5"/>
    </row>
    <row r="751" spans="4:4" x14ac:dyDescent="0.35">
      <c r="D751" s="5"/>
    </row>
    <row r="752" spans="4:4" x14ac:dyDescent="0.35">
      <c r="D752" s="5"/>
    </row>
    <row r="753" spans="4:4" x14ac:dyDescent="0.35">
      <c r="D753" s="5"/>
    </row>
    <row r="754" spans="4:4" x14ac:dyDescent="0.35">
      <c r="D754" s="5"/>
    </row>
    <row r="755" spans="4:4" x14ac:dyDescent="0.35">
      <c r="D755" s="5"/>
    </row>
    <row r="756" spans="4:4" x14ac:dyDescent="0.35">
      <c r="D756" s="5"/>
    </row>
    <row r="757" spans="4:4" x14ac:dyDescent="0.35">
      <c r="D757" s="5"/>
    </row>
    <row r="758" spans="4:4" x14ac:dyDescent="0.35">
      <c r="D758" s="5"/>
    </row>
    <row r="759" spans="4:4" x14ac:dyDescent="0.35">
      <c r="D759" s="5"/>
    </row>
    <row r="760" spans="4:4" x14ac:dyDescent="0.35">
      <c r="D760" s="5"/>
    </row>
    <row r="761" spans="4:4" x14ac:dyDescent="0.35">
      <c r="D761" s="5"/>
    </row>
    <row r="762" spans="4:4" x14ac:dyDescent="0.35">
      <c r="D762" s="5"/>
    </row>
    <row r="763" spans="4:4" x14ac:dyDescent="0.35">
      <c r="D763" s="5"/>
    </row>
    <row r="764" spans="4:4" x14ac:dyDescent="0.35">
      <c r="D764" s="5"/>
    </row>
    <row r="765" spans="4:4" x14ac:dyDescent="0.35">
      <c r="D765" s="5"/>
    </row>
    <row r="766" spans="4:4" x14ac:dyDescent="0.35">
      <c r="D766" s="5"/>
    </row>
    <row r="767" spans="4:4" x14ac:dyDescent="0.35">
      <c r="D767" s="5"/>
    </row>
    <row r="768" spans="4:4" x14ac:dyDescent="0.35">
      <c r="D768" s="5"/>
    </row>
    <row r="769" spans="4:4" x14ac:dyDescent="0.35">
      <c r="D769" s="5"/>
    </row>
    <row r="770" spans="4:4" x14ac:dyDescent="0.35">
      <c r="D770" s="5"/>
    </row>
    <row r="771" spans="4:4" x14ac:dyDescent="0.35">
      <c r="D771" s="5"/>
    </row>
    <row r="772" spans="4:4" x14ac:dyDescent="0.35">
      <c r="D772" s="5"/>
    </row>
    <row r="773" spans="4:4" x14ac:dyDescent="0.35">
      <c r="D773" s="5"/>
    </row>
    <row r="774" spans="4:4" x14ac:dyDescent="0.35">
      <c r="D774" s="5"/>
    </row>
    <row r="775" spans="4:4" x14ac:dyDescent="0.35">
      <c r="D775" s="5"/>
    </row>
    <row r="776" spans="4:4" x14ac:dyDescent="0.35">
      <c r="D776" s="5"/>
    </row>
    <row r="777" spans="4:4" x14ac:dyDescent="0.35">
      <c r="D777" s="5"/>
    </row>
    <row r="778" spans="4:4" x14ac:dyDescent="0.35">
      <c r="D778" s="5"/>
    </row>
    <row r="779" spans="4:4" x14ac:dyDescent="0.35">
      <c r="D779" s="5"/>
    </row>
    <row r="780" spans="4:4" x14ac:dyDescent="0.35">
      <c r="D780" s="5"/>
    </row>
    <row r="781" spans="4:4" x14ac:dyDescent="0.35">
      <c r="D781" s="5"/>
    </row>
    <row r="782" spans="4:4" x14ac:dyDescent="0.35">
      <c r="D782" s="5"/>
    </row>
    <row r="783" spans="4:4" x14ac:dyDescent="0.35">
      <c r="D783" s="5"/>
    </row>
    <row r="784" spans="4:4" x14ac:dyDescent="0.35">
      <c r="D784" s="5"/>
    </row>
    <row r="785" spans="4:4" x14ac:dyDescent="0.35">
      <c r="D785" s="5"/>
    </row>
    <row r="786" spans="4:4" x14ac:dyDescent="0.35">
      <c r="D786" s="5"/>
    </row>
    <row r="787" spans="4:4" x14ac:dyDescent="0.35">
      <c r="D787" s="5"/>
    </row>
    <row r="788" spans="4:4" x14ac:dyDescent="0.35">
      <c r="D788" s="5"/>
    </row>
    <row r="789" spans="4:4" x14ac:dyDescent="0.35">
      <c r="D789" s="5"/>
    </row>
    <row r="790" spans="4:4" x14ac:dyDescent="0.35">
      <c r="D790" s="5"/>
    </row>
    <row r="791" spans="4:4" x14ac:dyDescent="0.35">
      <c r="D791" s="5"/>
    </row>
    <row r="792" spans="4:4" x14ac:dyDescent="0.35">
      <c r="D792" s="5"/>
    </row>
    <row r="793" spans="4:4" x14ac:dyDescent="0.35">
      <c r="D793" s="5"/>
    </row>
    <row r="794" spans="4:4" x14ac:dyDescent="0.35">
      <c r="D794" s="5"/>
    </row>
    <row r="795" spans="4:4" x14ac:dyDescent="0.35">
      <c r="D795" s="5"/>
    </row>
    <row r="796" spans="4:4" x14ac:dyDescent="0.35">
      <c r="D796" s="5"/>
    </row>
    <row r="797" spans="4:4" x14ac:dyDescent="0.35">
      <c r="D797" s="5"/>
    </row>
    <row r="798" spans="4:4" x14ac:dyDescent="0.35">
      <c r="D798" s="5"/>
    </row>
    <row r="799" spans="4:4" x14ac:dyDescent="0.35">
      <c r="D799" s="5"/>
    </row>
    <row r="800" spans="4:4" x14ac:dyDescent="0.35">
      <c r="D800" s="5"/>
    </row>
    <row r="801" spans="4:4" x14ac:dyDescent="0.35">
      <c r="D801" s="5"/>
    </row>
    <row r="802" spans="4:4" x14ac:dyDescent="0.35">
      <c r="D802" s="5"/>
    </row>
    <row r="803" spans="4:4" x14ac:dyDescent="0.35">
      <c r="D803" s="5"/>
    </row>
    <row r="804" spans="4:4" x14ac:dyDescent="0.35">
      <c r="D804" s="5"/>
    </row>
    <row r="805" spans="4:4" x14ac:dyDescent="0.35">
      <c r="D805" s="5"/>
    </row>
    <row r="806" spans="4:4" x14ac:dyDescent="0.35">
      <c r="D806" s="5"/>
    </row>
    <row r="807" spans="4:4" x14ac:dyDescent="0.35">
      <c r="D807" s="5"/>
    </row>
    <row r="808" spans="4:4" x14ac:dyDescent="0.35">
      <c r="D808" s="5"/>
    </row>
    <row r="809" spans="4:4" x14ac:dyDescent="0.35">
      <c r="D809" s="5"/>
    </row>
    <row r="810" spans="4:4" x14ac:dyDescent="0.35">
      <c r="D810" s="5"/>
    </row>
    <row r="811" spans="4:4" x14ac:dyDescent="0.35">
      <c r="D811" s="5"/>
    </row>
    <row r="812" spans="4:4" x14ac:dyDescent="0.35">
      <c r="D812" s="5"/>
    </row>
    <row r="813" spans="4:4" x14ac:dyDescent="0.35">
      <c r="D813" s="5"/>
    </row>
    <row r="814" spans="4:4" x14ac:dyDescent="0.35">
      <c r="D814" s="5"/>
    </row>
    <row r="815" spans="4:4" x14ac:dyDescent="0.35">
      <c r="D815" s="5"/>
    </row>
    <row r="816" spans="4:4" x14ac:dyDescent="0.35">
      <c r="D816" s="5"/>
    </row>
    <row r="817" spans="4:4" x14ac:dyDescent="0.35">
      <c r="D817" s="5"/>
    </row>
    <row r="818" spans="4:4" x14ac:dyDescent="0.35">
      <c r="D818" s="5"/>
    </row>
    <row r="819" spans="4:4" x14ac:dyDescent="0.35">
      <c r="D819" s="5"/>
    </row>
    <row r="820" spans="4:4" x14ac:dyDescent="0.35">
      <c r="D820" s="5"/>
    </row>
    <row r="821" spans="4:4" x14ac:dyDescent="0.35">
      <c r="D821" s="5"/>
    </row>
    <row r="822" spans="4:4" x14ac:dyDescent="0.35">
      <c r="D822" s="5"/>
    </row>
    <row r="823" spans="4:4" x14ac:dyDescent="0.35">
      <c r="D823" s="5"/>
    </row>
    <row r="824" spans="4:4" x14ac:dyDescent="0.35">
      <c r="D824" s="5"/>
    </row>
    <row r="825" spans="4:4" x14ac:dyDescent="0.35">
      <c r="D825" s="5"/>
    </row>
    <row r="826" spans="4:4" x14ac:dyDescent="0.35">
      <c r="D826" s="5"/>
    </row>
    <row r="827" spans="4:4" x14ac:dyDescent="0.35">
      <c r="D827" s="5"/>
    </row>
    <row r="828" spans="4:4" x14ac:dyDescent="0.35">
      <c r="D828" s="5"/>
    </row>
    <row r="829" spans="4:4" x14ac:dyDescent="0.35">
      <c r="D829" s="5"/>
    </row>
    <row r="830" spans="4:4" x14ac:dyDescent="0.35">
      <c r="D830" s="5"/>
    </row>
    <row r="831" spans="4:4" x14ac:dyDescent="0.35">
      <c r="D831" s="5"/>
    </row>
    <row r="832" spans="4:4" x14ac:dyDescent="0.35">
      <c r="D832" s="5"/>
    </row>
    <row r="833" spans="4:4" x14ac:dyDescent="0.35">
      <c r="D833" s="5"/>
    </row>
    <row r="834" spans="4:4" x14ac:dyDescent="0.35">
      <c r="D834" s="5"/>
    </row>
    <row r="835" spans="4:4" x14ac:dyDescent="0.35">
      <c r="D835" s="5"/>
    </row>
    <row r="836" spans="4:4" x14ac:dyDescent="0.35">
      <c r="D836" s="5"/>
    </row>
    <row r="837" spans="4:4" x14ac:dyDescent="0.35">
      <c r="D837" s="5"/>
    </row>
    <row r="838" spans="4:4" x14ac:dyDescent="0.35">
      <c r="D838" s="5"/>
    </row>
    <row r="839" spans="4:4" x14ac:dyDescent="0.35">
      <c r="D839" s="5"/>
    </row>
    <row r="840" spans="4:4" x14ac:dyDescent="0.35">
      <c r="D840" s="5"/>
    </row>
    <row r="841" spans="4:4" x14ac:dyDescent="0.35">
      <c r="D841" s="5"/>
    </row>
    <row r="842" spans="4:4" x14ac:dyDescent="0.35">
      <c r="D842" s="5"/>
    </row>
    <row r="843" spans="4:4" x14ac:dyDescent="0.35">
      <c r="D843" s="5"/>
    </row>
    <row r="844" spans="4:4" x14ac:dyDescent="0.35">
      <c r="D844" s="5"/>
    </row>
    <row r="845" spans="4:4" x14ac:dyDescent="0.35">
      <c r="D845" s="5"/>
    </row>
    <row r="846" spans="4:4" x14ac:dyDescent="0.35">
      <c r="D846" s="5"/>
    </row>
    <row r="847" spans="4:4" x14ac:dyDescent="0.35">
      <c r="D847" s="5"/>
    </row>
    <row r="848" spans="4:4" x14ac:dyDescent="0.35">
      <c r="D848" s="5"/>
    </row>
    <row r="849" spans="4:4" x14ac:dyDescent="0.35">
      <c r="D849" s="5"/>
    </row>
    <row r="850" spans="4:4" x14ac:dyDescent="0.35">
      <c r="D850" s="5"/>
    </row>
    <row r="851" spans="4:4" x14ac:dyDescent="0.35">
      <c r="D851" s="5"/>
    </row>
    <row r="852" spans="4:4" x14ac:dyDescent="0.35">
      <c r="D852" s="5"/>
    </row>
    <row r="853" spans="4:4" x14ac:dyDescent="0.35">
      <c r="D853" s="5"/>
    </row>
    <row r="854" spans="4:4" x14ac:dyDescent="0.35">
      <c r="D854" s="5"/>
    </row>
    <row r="855" spans="4:4" x14ac:dyDescent="0.35">
      <c r="D855" s="5"/>
    </row>
    <row r="856" spans="4:4" x14ac:dyDescent="0.35">
      <c r="D856" s="5"/>
    </row>
    <row r="857" spans="4:4" x14ac:dyDescent="0.35">
      <c r="D857" s="5"/>
    </row>
    <row r="858" spans="4:4" x14ac:dyDescent="0.35">
      <c r="D858" s="5"/>
    </row>
    <row r="859" spans="4:4" x14ac:dyDescent="0.35">
      <c r="D859" s="5"/>
    </row>
    <row r="860" spans="4:4" x14ac:dyDescent="0.35">
      <c r="D860" s="5"/>
    </row>
    <row r="861" spans="4:4" x14ac:dyDescent="0.35">
      <c r="D861" s="5"/>
    </row>
    <row r="862" spans="4:4" x14ac:dyDescent="0.35">
      <c r="D862" s="5"/>
    </row>
    <row r="863" spans="4:4" x14ac:dyDescent="0.35">
      <c r="D863" s="5"/>
    </row>
    <row r="864" spans="4:4" x14ac:dyDescent="0.35">
      <c r="D864" s="5"/>
    </row>
    <row r="865" spans="4:4" x14ac:dyDescent="0.35">
      <c r="D865" s="5"/>
    </row>
    <row r="866" spans="4:4" x14ac:dyDescent="0.35">
      <c r="D866" s="5"/>
    </row>
    <row r="867" spans="4:4" x14ac:dyDescent="0.35">
      <c r="D867" s="5"/>
    </row>
    <row r="868" spans="4:4" x14ac:dyDescent="0.35">
      <c r="D868" s="5"/>
    </row>
    <row r="869" spans="4:4" x14ac:dyDescent="0.35">
      <c r="D869" s="5"/>
    </row>
    <row r="870" spans="4:4" x14ac:dyDescent="0.35">
      <c r="D870" s="5"/>
    </row>
    <row r="871" spans="4:4" x14ac:dyDescent="0.35">
      <c r="D871" s="5"/>
    </row>
    <row r="872" spans="4:4" x14ac:dyDescent="0.35">
      <c r="D872" s="5"/>
    </row>
    <row r="873" spans="4:4" x14ac:dyDescent="0.35">
      <c r="D873" s="5"/>
    </row>
    <row r="874" spans="4:4" x14ac:dyDescent="0.35">
      <c r="D874" s="5"/>
    </row>
    <row r="875" spans="4:4" x14ac:dyDescent="0.35">
      <c r="D875" s="5"/>
    </row>
    <row r="876" spans="4:4" x14ac:dyDescent="0.35">
      <c r="D876" s="5"/>
    </row>
    <row r="877" spans="4:4" x14ac:dyDescent="0.35">
      <c r="D877" s="5"/>
    </row>
    <row r="878" spans="4:4" x14ac:dyDescent="0.35">
      <c r="D878" s="5"/>
    </row>
    <row r="879" spans="4:4" x14ac:dyDescent="0.35">
      <c r="D879" s="5"/>
    </row>
    <row r="880" spans="4:4" x14ac:dyDescent="0.35">
      <c r="D880" s="5"/>
    </row>
    <row r="881" spans="4:4" x14ac:dyDescent="0.35">
      <c r="D881" s="5"/>
    </row>
    <row r="882" spans="4:4" x14ac:dyDescent="0.35">
      <c r="D882" s="5"/>
    </row>
    <row r="883" spans="4:4" x14ac:dyDescent="0.35">
      <c r="D883" s="5"/>
    </row>
    <row r="884" spans="4:4" x14ac:dyDescent="0.35">
      <c r="D884" s="5"/>
    </row>
    <row r="885" spans="4:4" x14ac:dyDescent="0.35">
      <c r="D885" s="5"/>
    </row>
    <row r="886" spans="4:4" x14ac:dyDescent="0.35">
      <c r="D886" s="5"/>
    </row>
    <row r="887" spans="4:4" x14ac:dyDescent="0.35">
      <c r="D887" s="5"/>
    </row>
    <row r="888" spans="4:4" x14ac:dyDescent="0.35">
      <c r="D888" s="5"/>
    </row>
    <row r="889" spans="4:4" x14ac:dyDescent="0.35">
      <c r="D889" s="5"/>
    </row>
    <row r="890" spans="4:4" x14ac:dyDescent="0.35">
      <c r="D890" s="5"/>
    </row>
    <row r="891" spans="4:4" x14ac:dyDescent="0.35">
      <c r="D891" s="5"/>
    </row>
    <row r="892" spans="4:4" x14ac:dyDescent="0.35">
      <c r="D892" s="5"/>
    </row>
    <row r="893" spans="4:4" x14ac:dyDescent="0.35">
      <c r="D893" s="5"/>
    </row>
    <row r="894" spans="4:4" x14ac:dyDescent="0.35">
      <c r="D894" s="5"/>
    </row>
    <row r="895" spans="4:4" x14ac:dyDescent="0.35">
      <c r="D895" s="5"/>
    </row>
    <row r="896" spans="4:4" x14ac:dyDescent="0.35">
      <c r="D896" s="5"/>
    </row>
    <row r="897" spans="4:4" x14ac:dyDescent="0.35">
      <c r="D897" s="5"/>
    </row>
    <row r="898" spans="4:4" x14ac:dyDescent="0.35">
      <c r="D898" s="5"/>
    </row>
    <row r="899" spans="4:4" x14ac:dyDescent="0.35">
      <c r="D899" s="5"/>
    </row>
    <row r="900" spans="4:4" x14ac:dyDescent="0.35">
      <c r="D900" s="5"/>
    </row>
    <row r="901" spans="4:4" x14ac:dyDescent="0.35">
      <c r="D901" s="5"/>
    </row>
    <row r="902" spans="4:4" x14ac:dyDescent="0.35">
      <c r="D902" s="5"/>
    </row>
    <row r="903" spans="4:4" x14ac:dyDescent="0.35">
      <c r="D903" s="5"/>
    </row>
    <row r="904" spans="4:4" x14ac:dyDescent="0.35">
      <c r="D904" s="5"/>
    </row>
    <row r="905" spans="4:4" x14ac:dyDescent="0.35">
      <c r="D905" s="5"/>
    </row>
    <row r="906" spans="4:4" x14ac:dyDescent="0.35">
      <c r="D906" s="5"/>
    </row>
    <row r="907" spans="4:4" x14ac:dyDescent="0.35">
      <c r="D907" s="5"/>
    </row>
    <row r="908" spans="4:4" x14ac:dyDescent="0.35">
      <c r="D908" s="5"/>
    </row>
    <row r="909" spans="4:4" x14ac:dyDescent="0.35">
      <c r="D909" s="5"/>
    </row>
    <row r="910" spans="4:4" x14ac:dyDescent="0.35">
      <c r="D910" s="5"/>
    </row>
    <row r="911" spans="4:4" x14ac:dyDescent="0.35">
      <c r="D911" s="5"/>
    </row>
    <row r="912" spans="4:4" x14ac:dyDescent="0.35">
      <c r="D912" s="5"/>
    </row>
    <row r="913" spans="4:4" x14ac:dyDescent="0.35">
      <c r="D913" s="5"/>
    </row>
    <row r="914" spans="4:4" x14ac:dyDescent="0.35">
      <c r="D914" s="5"/>
    </row>
    <row r="915" spans="4:4" x14ac:dyDescent="0.35">
      <c r="D915" s="5"/>
    </row>
    <row r="916" spans="4:4" x14ac:dyDescent="0.35">
      <c r="D916" s="5"/>
    </row>
    <row r="917" spans="4:4" x14ac:dyDescent="0.35">
      <c r="D917" s="5"/>
    </row>
    <row r="918" spans="4:4" x14ac:dyDescent="0.35">
      <c r="D918" s="5"/>
    </row>
    <row r="919" spans="4:4" x14ac:dyDescent="0.35">
      <c r="D919" s="5"/>
    </row>
    <row r="920" spans="4:4" x14ac:dyDescent="0.35">
      <c r="D920" s="5"/>
    </row>
    <row r="921" spans="4:4" x14ac:dyDescent="0.35">
      <c r="D921" s="5"/>
    </row>
    <row r="922" spans="4:4" x14ac:dyDescent="0.35">
      <c r="D922" s="5"/>
    </row>
    <row r="923" spans="4:4" x14ac:dyDescent="0.35">
      <c r="D923" s="5"/>
    </row>
    <row r="924" spans="4:4" x14ac:dyDescent="0.35">
      <c r="D924" s="5"/>
    </row>
    <row r="925" spans="4:4" x14ac:dyDescent="0.35">
      <c r="D925" s="5"/>
    </row>
    <row r="926" spans="4:4" x14ac:dyDescent="0.35">
      <c r="D926" s="5"/>
    </row>
    <row r="927" spans="4:4" x14ac:dyDescent="0.35">
      <c r="D927" s="5"/>
    </row>
    <row r="928" spans="4:4" x14ac:dyDescent="0.35">
      <c r="D928" s="5"/>
    </row>
    <row r="929" spans="4:4" x14ac:dyDescent="0.35">
      <c r="D929" s="5"/>
    </row>
    <row r="930" spans="4:4" x14ac:dyDescent="0.35">
      <c r="D930" s="5"/>
    </row>
    <row r="931" spans="4:4" x14ac:dyDescent="0.35">
      <c r="D931" s="5"/>
    </row>
    <row r="932" spans="4:4" x14ac:dyDescent="0.35">
      <c r="D932" s="5"/>
    </row>
    <row r="933" spans="4:4" x14ac:dyDescent="0.35">
      <c r="D933" s="5"/>
    </row>
    <row r="934" spans="4:4" x14ac:dyDescent="0.35">
      <c r="D934" s="5"/>
    </row>
    <row r="935" spans="4:4" x14ac:dyDescent="0.35">
      <c r="D935" s="5"/>
    </row>
    <row r="936" spans="4:4" x14ac:dyDescent="0.35">
      <c r="D936" s="5"/>
    </row>
    <row r="937" spans="4:4" x14ac:dyDescent="0.35">
      <c r="D937" s="5"/>
    </row>
    <row r="938" spans="4:4" x14ac:dyDescent="0.35">
      <c r="D938" s="5"/>
    </row>
    <row r="939" spans="4:4" x14ac:dyDescent="0.35">
      <c r="D939" s="5"/>
    </row>
    <row r="940" spans="4:4" x14ac:dyDescent="0.35">
      <c r="D940" s="5"/>
    </row>
    <row r="941" spans="4:4" x14ac:dyDescent="0.35">
      <c r="D941" s="5"/>
    </row>
    <row r="942" spans="4:4" x14ac:dyDescent="0.35">
      <c r="D942" s="5"/>
    </row>
    <row r="943" spans="4:4" x14ac:dyDescent="0.35">
      <c r="D943" s="5"/>
    </row>
    <row r="944" spans="4:4" x14ac:dyDescent="0.35">
      <c r="D944" s="5"/>
    </row>
    <row r="945" spans="4:4" x14ac:dyDescent="0.35">
      <c r="D945" s="5"/>
    </row>
    <row r="946" spans="4:4" x14ac:dyDescent="0.35">
      <c r="D946" s="5"/>
    </row>
    <row r="947" spans="4:4" x14ac:dyDescent="0.35">
      <c r="D947" s="5"/>
    </row>
    <row r="948" spans="4:4" x14ac:dyDescent="0.35">
      <c r="D948" s="5"/>
    </row>
    <row r="949" spans="4:4" x14ac:dyDescent="0.35">
      <c r="D949" s="5"/>
    </row>
    <row r="950" spans="4:4" x14ac:dyDescent="0.35">
      <c r="D950" s="5"/>
    </row>
    <row r="951" spans="4:4" x14ac:dyDescent="0.35">
      <c r="D951" s="5"/>
    </row>
    <row r="952" spans="4:4" x14ac:dyDescent="0.35">
      <c r="D952" s="5"/>
    </row>
    <row r="953" spans="4:4" x14ac:dyDescent="0.35">
      <c r="D953" s="5"/>
    </row>
    <row r="954" spans="4:4" x14ac:dyDescent="0.35">
      <c r="D954" s="5"/>
    </row>
    <row r="955" spans="4:4" x14ac:dyDescent="0.35">
      <c r="D955" s="5"/>
    </row>
    <row r="956" spans="4:4" x14ac:dyDescent="0.35">
      <c r="D956" s="5"/>
    </row>
    <row r="957" spans="4:4" x14ac:dyDescent="0.35">
      <c r="D957" s="5"/>
    </row>
    <row r="958" spans="4:4" x14ac:dyDescent="0.35">
      <c r="D958" s="5"/>
    </row>
    <row r="959" spans="4:4" x14ac:dyDescent="0.35">
      <c r="D959" s="5"/>
    </row>
    <row r="960" spans="4:4" x14ac:dyDescent="0.35">
      <c r="D960" s="5"/>
    </row>
    <row r="961" spans="4:4" x14ac:dyDescent="0.35">
      <c r="D961" s="5"/>
    </row>
    <row r="962" spans="4:4" x14ac:dyDescent="0.35">
      <c r="D962" s="5"/>
    </row>
    <row r="963" spans="4:4" x14ac:dyDescent="0.35">
      <c r="D963" s="5"/>
    </row>
    <row r="964" spans="4:4" x14ac:dyDescent="0.35">
      <c r="D964" s="5"/>
    </row>
    <row r="965" spans="4:4" x14ac:dyDescent="0.35">
      <c r="D965" s="5"/>
    </row>
    <row r="966" spans="4:4" x14ac:dyDescent="0.35">
      <c r="D966" s="5"/>
    </row>
    <row r="967" spans="4:4" x14ac:dyDescent="0.35">
      <c r="D967" s="5"/>
    </row>
    <row r="968" spans="4:4" x14ac:dyDescent="0.35">
      <c r="D968" s="5"/>
    </row>
    <row r="969" spans="4:4" x14ac:dyDescent="0.35">
      <c r="D969" s="5"/>
    </row>
    <row r="970" spans="4:4" x14ac:dyDescent="0.35">
      <c r="D970" s="5"/>
    </row>
    <row r="971" spans="4:4" x14ac:dyDescent="0.35">
      <c r="D971" s="5"/>
    </row>
    <row r="972" spans="4:4" x14ac:dyDescent="0.35">
      <c r="D972" s="5"/>
    </row>
    <row r="973" spans="4:4" x14ac:dyDescent="0.35">
      <c r="D973" s="5"/>
    </row>
    <row r="974" spans="4:4" x14ac:dyDescent="0.35">
      <c r="D974" s="5"/>
    </row>
    <row r="975" spans="4:4" x14ac:dyDescent="0.35">
      <c r="D975" s="5"/>
    </row>
    <row r="976" spans="4:4" x14ac:dyDescent="0.35">
      <c r="D976" s="5"/>
    </row>
    <row r="977" spans="4:4" x14ac:dyDescent="0.35">
      <c r="D977" s="5"/>
    </row>
    <row r="978" spans="4:4" x14ac:dyDescent="0.35">
      <c r="D978" s="5"/>
    </row>
    <row r="979" spans="4:4" x14ac:dyDescent="0.35">
      <c r="D979" s="5"/>
    </row>
    <row r="980" spans="4:4" x14ac:dyDescent="0.35">
      <c r="D980" s="5"/>
    </row>
    <row r="981" spans="4:4" x14ac:dyDescent="0.35">
      <c r="D981" s="5"/>
    </row>
    <row r="982" spans="4:4" x14ac:dyDescent="0.35">
      <c r="D982" s="5"/>
    </row>
    <row r="983" spans="4:4" x14ac:dyDescent="0.35">
      <c r="D983" s="5"/>
    </row>
    <row r="984" spans="4:4" x14ac:dyDescent="0.35">
      <c r="D984" s="5"/>
    </row>
    <row r="985" spans="4:4" x14ac:dyDescent="0.35">
      <c r="D985" s="5"/>
    </row>
    <row r="986" spans="4:4" x14ac:dyDescent="0.35">
      <c r="D986" s="5"/>
    </row>
    <row r="987" spans="4:4" x14ac:dyDescent="0.35">
      <c r="D987" s="5"/>
    </row>
    <row r="988" spans="4:4" x14ac:dyDescent="0.35">
      <c r="D988" s="5"/>
    </row>
    <row r="989" spans="4:4" x14ac:dyDescent="0.35">
      <c r="D989" s="5"/>
    </row>
    <row r="990" spans="4:4" x14ac:dyDescent="0.35">
      <c r="D990" s="5"/>
    </row>
    <row r="991" spans="4:4" x14ac:dyDescent="0.35">
      <c r="D991" s="5"/>
    </row>
    <row r="992" spans="4:4" x14ac:dyDescent="0.35">
      <c r="D992" s="5"/>
    </row>
    <row r="993" spans="4:4" x14ac:dyDescent="0.35">
      <c r="D993" s="5"/>
    </row>
    <row r="994" spans="4:4" x14ac:dyDescent="0.35">
      <c r="D994" s="5"/>
    </row>
    <row r="995" spans="4:4" x14ac:dyDescent="0.35">
      <c r="D995" s="5"/>
    </row>
    <row r="996" spans="4:4" x14ac:dyDescent="0.35">
      <c r="D996" s="5"/>
    </row>
    <row r="997" spans="4:4" x14ac:dyDescent="0.35">
      <c r="D997" s="5"/>
    </row>
    <row r="998" spans="4:4" x14ac:dyDescent="0.35">
      <c r="D998" s="5"/>
    </row>
    <row r="999" spans="4:4" x14ac:dyDescent="0.35">
      <c r="D999" s="5"/>
    </row>
    <row r="1000" spans="4:4" x14ac:dyDescent="0.35">
      <c r="D1000" s="5"/>
    </row>
    <row r="1001" spans="4:4" x14ac:dyDescent="0.35">
      <c r="D1001" s="5"/>
    </row>
    <row r="1002" spans="4:4" x14ac:dyDescent="0.35">
      <c r="D1002" s="5"/>
    </row>
    <row r="1003" spans="4:4" x14ac:dyDescent="0.35">
      <c r="D1003" s="5"/>
    </row>
    <row r="1004" spans="4:4" x14ac:dyDescent="0.35">
      <c r="D1004" s="5"/>
    </row>
    <row r="1005" spans="4:4" x14ac:dyDescent="0.35">
      <c r="D1005" s="5"/>
    </row>
    <row r="1006" spans="4:4" x14ac:dyDescent="0.35">
      <c r="D1006" s="5"/>
    </row>
    <row r="1007" spans="4:4" x14ac:dyDescent="0.35">
      <c r="D1007" s="5"/>
    </row>
    <row r="1008" spans="4:4" x14ac:dyDescent="0.35">
      <c r="D1008" s="5"/>
    </row>
    <row r="1009" spans="4:4" x14ac:dyDescent="0.35">
      <c r="D1009" s="5"/>
    </row>
    <row r="1010" spans="4:4" x14ac:dyDescent="0.35">
      <c r="D1010" s="5"/>
    </row>
    <row r="1011" spans="4:4" x14ac:dyDescent="0.35">
      <c r="D1011" s="5"/>
    </row>
    <row r="1012" spans="4:4" x14ac:dyDescent="0.35">
      <c r="D1012" s="5"/>
    </row>
    <row r="1013" spans="4:4" x14ac:dyDescent="0.35">
      <c r="D1013" s="5"/>
    </row>
    <row r="1014" spans="4:4" x14ac:dyDescent="0.35">
      <c r="D1014" s="5"/>
    </row>
    <row r="1015" spans="4:4" x14ac:dyDescent="0.35">
      <c r="D1015" s="5"/>
    </row>
    <row r="1016" spans="4:4" x14ac:dyDescent="0.35">
      <c r="D1016" s="5"/>
    </row>
    <row r="1017" spans="4:4" x14ac:dyDescent="0.35">
      <c r="D1017" s="5"/>
    </row>
    <row r="1018" spans="4:4" x14ac:dyDescent="0.35">
      <c r="D1018" s="5"/>
    </row>
    <row r="1019" spans="4:4" x14ac:dyDescent="0.35">
      <c r="D1019" s="5"/>
    </row>
    <row r="1020" spans="4:4" x14ac:dyDescent="0.35">
      <c r="D1020" s="5"/>
    </row>
    <row r="1021" spans="4:4" x14ac:dyDescent="0.35">
      <c r="D1021" s="5"/>
    </row>
    <row r="1022" spans="4:4" x14ac:dyDescent="0.35">
      <c r="D1022" s="5"/>
    </row>
    <row r="1023" spans="4:4" x14ac:dyDescent="0.35">
      <c r="D1023" s="5"/>
    </row>
    <row r="1024" spans="4:4" x14ac:dyDescent="0.35">
      <c r="D1024" s="5"/>
    </row>
    <row r="1025" spans="4:4" x14ac:dyDescent="0.35">
      <c r="D1025" s="5"/>
    </row>
    <row r="1026" spans="4:4" x14ac:dyDescent="0.35">
      <c r="D1026" s="5"/>
    </row>
    <row r="1027" spans="4:4" x14ac:dyDescent="0.35">
      <c r="D1027" s="5"/>
    </row>
    <row r="1028" spans="4:4" x14ac:dyDescent="0.35">
      <c r="D1028" s="5"/>
    </row>
    <row r="1029" spans="4:4" x14ac:dyDescent="0.35">
      <c r="D1029" s="5"/>
    </row>
    <row r="1030" spans="4:4" x14ac:dyDescent="0.35">
      <c r="D1030" s="5"/>
    </row>
    <row r="1031" spans="4:4" x14ac:dyDescent="0.35">
      <c r="D1031" s="5"/>
    </row>
    <row r="1032" spans="4:4" x14ac:dyDescent="0.35">
      <c r="D1032" s="5"/>
    </row>
    <row r="1033" spans="4:4" x14ac:dyDescent="0.35">
      <c r="D1033" s="5"/>
    </row>
    <row r="1034" spans="4:4" x14ac:dyDescent="0.35">
      <c r="D1034" s="5"/>
    </row>
    <row r="1035" spans="4:4" x14ac:dyDescent="0.35">
      <c r="D1035" s="5"/>
    </row>
    <row r="1036" spans="4:4" x14ac:dyDescent="0.35">
      <c r="D1036" s="5"/>
    </row>
    <row r="1037" spans="4:4" x14ac:dyDescent="0.35">
      <c r="D1037" s="5"/>
    </row>
    <row r="1038" spans="4:4" x14ac:dyDescent="0.35">
      <c r="D1038" s="5"/>
    </row>
    <row r="1039" spans="4:4" x14ac:dyDescent="0.35">
      <c r="D1039" s="5"/>
    </row>
    <row r="1040" spans="4:4" x14ac:dyDescent="0.35">
      <c r="D1040" s="5"/>
    </row>
    <row r="1041" spans="4:4" x14ac:dyDescent="0.35">
      <c r="D1041" s="5"/>
    </row>
    <row r="1042" spans="4:4" x14ac:dyDescent="0.35">
      <c r="D1042" s="5"/>
    </row>
    <row r="1043" spans="4:4" x14ac:dyDescent="0.35">
      <c r="D1043" s="5"/>
    </row>
    <row r="1044" spans="4:4" x14ac:dyDescent="0.35">
      <c r="D1044" s="5"/>
    </row>
    <row r="1045" spans="4:4" x14ac:dyDescent="0.35">
      <c r="D1045" s="5"/>
    </row>
    <row r="1046" spans="4:4" x14ac:dyDescent="0.35">
      <c r="D1046" s="5"/>
    </row>
    <row r="1047" spans="4:4" x14ac:dyDescent="0.35">
      <c r="D1047" s="5"/>
    </row>
    <row r="1048" spans="4:4" x14ac:dyDescent="0.35">
      <c r="D1048" s="5"/>
    </row>
    <row r="1049" spans="4:4" x14ac:dyDescent="0.35">
      <c r="D1049" s="5"/>
    </row>
    <row r="1050" spans="4:4" x14ac:dyDescent="0.35">
      <c r="D1050" s="5"/>
    </row>
    <row r="1051" spans="4:4" x14ac:dyDescent="0.35">
      <c r="D1051" s="5"/>
    </row>
    <row r="1052" spans="4:4" x14ac:dyDescent="0.35">
      <c r="D1052" s="5"/>
    </row>
    <row r="1053" spans="4:4" x14ac:dyDescent="0.35">
      <c r="D1053" s="5"/>
    </row>
    <row r="1054" spans="4:4" x14ac:dyDescent="0.35">
      <c r="D1054" s="5"/>
    </row>
    <row r="1055" spans="4:4" x14ac:dyDescent="0.35">
      <c r="D1055" s="5"/>
    </row>
    <row r="1056" spans="4:4" x14ac:dyDescent="0.35">
      <c r="D1056" s="5"/>
    </row>
    <row r="1057" spans="4:4" x14ac:dyDescent="0.35">
      <c r="D1057" s="5"/>
    </row>
    <row r="1058" spans="4:4" x14ac:dyDescent="0.35">
      <c r="D1058" s="5"/>
    </row>
    <row r="1059" spans="4:4" x14ac:dyDescent="0.35">
      <c r="D1059" s="5"/>
    </row>
    <row r="1060" spans="4:4" x14ac:dyDescent="0.35">
      <c r="D1060" s="5"/>
    </row>
    <row r="1061" spans="4:4" x14ac:dyDescent="0.35">
      <c r="D1061" s="5"/>
    </row>
    <row r="1062" spans="4:4" x14ac:dyDescent="0.35">
      <c r="D1062" s="5"/>
    </row>
    <row r="1063" spans="4:4" x14ac:dyDescent="0.35">
      <c r="D1063" s="5"/>
    </row>
    <row r="1064" spans="4:4" x14ac:dyDescent="0.35">
      <c r="D1064" s="5"/>
    </row>
    <row r="1065" spans="4:4" x14ac:dyDescent="0.35">
      <c r="D1065" s="5"/>
    </row>
    <row r="1066" spans="4:4" x14ac:dyDescent="0.35">
      <c r="D1066" s="5"/>
    </row>
    <row r="1067" spans="4:4" x14ac:dyDescent="0.35">
      <c r="D1067" s="5"/>
    </row>
    <row r="1068" spans="4:4" x14ac:dyDescent="0.35">
      <c r="D1068" s="5"/>
    </row>
    <row r="1069" spans="4:4" x14ac:dyDescent="0.35">
      <c r="D1069" s="5"/>
    </row>
    <row r="1070" spans="4:4" x14ac:dyDescent="0.35">
      <c r="D1070" s="5"/>
    </row>
    <row r="1071" spans="4:4" x14ac:dyDescent="0.35">
      <c r="D1071" s="5"/>
    </row>
    <row r="1072" spans="4:4" x14ac:dyDescent="0.35">
      <c r="D1072" s="5"/>
    </row>
    <row r="1073" spans="4:4" x14ac:dyDescent="0.35">
      <c r="D1073" s="5"/>
    </row>
    <row r="1074" spans="4:4" x14ac:dyDescent="0.35">
      <c r="D1074" s="5"/>
    </row>
    <row r="1075" spans="4:4" x14ac:dyDescent="0.35">
      <c r="D1075" s="5"/>
    </row>
    <row r="1076" spans="4:4" x14ac:dyDescent="0.35">
      <c r="D1076" s="5"/>
    </row>
    <row r="1077" spans="4:4" x14ac:dyDescent="0.35">
      <c r="D1077" s="5"/>
    </row>
    <row r="1078" spans="4:4" x14ac:dyDescent="0.35">
      <c r="D1078" s="5"/>
    </row>
    <row r="1079" spans="4:4" x14ac:dyDescent="0.35">
      <c r="D1079" s="5"/>
    </row>
    <row r="1080" spans="4:4" x14ac:dyDescent="0.35">
      <c r="D1080" s="5"/>
    </row>
    <row r="1081" spans="4:4" x14ac:dyDescent="0.35">
      <c r="D1081" s="5"/>
    </row>
    <row r="1082" spans="4:4" x14ac:dyDescent="0.35">
      <c r="D1082" s="5"/>
    </row>
    <row r="1083" spans="4:4" x14ac:dyDescent="0.35">
      <c r="D1083" s="5"/>
    </row>
    <row r="1084" spans="4:4" x14ac:dyDescent="0.35">
      <c r="D1084" s="5"/>
    </row>
    <row r="1085" spans="4:4" x14ac:dyDescent="0.35">
      <c r="D1085" s="5"/>
    </row>
    <row r="1086" spans="4:4" x14ac:dyDescent="0.35">
      <c r="D1086" s="5"/>
    </row>
    <row r="1087" spans="4:4" x14ac:dyDescent="0.35">
      <c r="D1087" s="5"/>
    </row>
    <row r="1088" spans="4:4" x14ac:dyDescent="0.35">
      <c r="D1088" s="5"/>
    </row>
    <row r="1089" spans="4:4" x14ac:dyDescent="0.35">
      <c r="D1089" s="5"/>
    </row>
    <row r="1090" spans="4:4" x14ac:dyDescent="0.35">
      <c r="D1090" s="5"/>
    </row>
    <row r="1091" spans="4:4" x14ac:dyDescent="0.35">
      <c r="D1091" s="5"/>
    </row>
    <row r="1092" spans="4:4" x14ac:dyDescent="0.35">
      <c r="D1092" s="5"/>
    </row>
    <row r="1093" spans="4:4" x14ac:dyDescent="0.35">
      <c r="D1093" s="5"/>
    </row>
    <row r="1094" spans="4:4" x14ac:dyDescent="0.35">
      <c r="D1094" s="5"/>
    </row>
    <row r="1095" spans="4:4" x14ac:dyDescent="0.35">
      <c r="D1095" s="5"/>
    </row>
    <row r="1096" spans="4:4" x14ac:dyDescent="0.35">
      <c r="D1096" s="5"/>
    </row>
    <row r="1097" spans="4:4" x14ac:dyDescent="0.35">
      <c r="D1097" s="5"/>
    </row>
    <row r="1098" spans="4:4" x14ac:dyDescent="0.35">
      <c r="D1098" s="5"/>
    </row>
    <row r="1099" spans="4:4" x14ac:dyDescent="0.35">
      <c r="D1099" s="5"/>
    </row>
    <row r="1100" spans="4:4" x14ac:dyDescent="0.35">
      <c r="D1100" s="5"/>
    </row>
    <row r="1101" spans="4:4" x14ac:dyDescent="0.35">
      <c r="D1101" s="5"/>
    </row>
    <row r="1102" spans="4:4" x14ac:dyDescent="0.35">
      <c r="D1102" s="5"/>
    </row>
    <row r="1103" spans="4:4" x14ac:dyDescent="0.35">
      <c r="D1103" s="5"/>
    </row>
    <row r="1104" spans="4:4" x14ac:dyDescent="0.35">
      <c r="D1104" s="5"/>
    </row>
    <row r="1105" spans="4:4" x14ac:dyDescent="0.35">
      <c r="D1105" s="5"/>
    </row>
    <row r="1106" spans="4:4" x14ac:dyDescent="0.35">
      <c r="D1106" s="5"/>
    </row>
    <row r="1107" spans="4:4" x14ac:dyDescent="0.35">
      <c r="D1107" s="5"/>
    </row>
    <row r="1108" spans="4:4" x14ac:dyDescent="0.35">
      <c r="D1108" s="5"/>
    </row>
    <row r="1109" spans="4:4" x14ac:dyDescent="0.35">
      <c r="D1109" s="5"/>
    </row>
    <row r="1110" spans="4:4" x14ac:dyDescent="0.35">
      <c r="D1110" s="5"/>
    </row>
    <row r="1111" spans="4:4" x14ac:dyDescent="0.35">
      <c r="D1111" s="5"/>
    </row>
    <row r="1112" spans="4:4" x14ac:dyDescent="0.35">
      <c r="D1112" s="5"/>
    </row>
    <row r="1113" spans="4:4" x14ac:dyDescent="0.35">
      <c r="D1113" s="5"/>
    </row>
    <row r="1114" spans="4:4" x14ac:dyDescent="0.35">
      <c r="D1114" s="5"/>
    </row>
    <row r="1115" spans="4:4" x14ac:dyDescent="0.35">
      <c r="D1115" s="5"/>
    </row>
    <row r="1116" spans="4:4" x14ac:dyDescent="0.35">
      <c r="D1116" s="5"/>
    </row>
    <row r="1117" spans="4:4" x14ac:dyDescent="0.35">
      <c r="D1117" s="5"/>
    </row>
    <row r="1118" spans="4:4" x14ac:dyDescent="0.35">
      <c r="D1118" s="5"/>
    </row>
    <row r="1119" spans="4:4" x14ac:dyDescent="0.35">
      <c r="D1119" s="5"/>
    </row>
    <row r="1120" spans="4:4" x14ac:dyDescent="0.35">
      <c r="D1120" s="5"/>
    </row>
    <row r="1121" spans="4:4" x14ac:dyDescent="0.35">
      <c r="D1121" s="5"/>
    </row>
    <row r="1122" spans="4:4" x14ac:dyDescent="0.35">
      <c r="D1122" s="5"/>
    </row>
    <row r="1123" spans="4:4" x14ac:dyDescent="0.35">
      <c r="D1123" s="5"/>
    </row>
    <row r="1124" spans="4:4" x14ac:dyDescent="0.35">
      <c r="D1124" s="5"/>
    </row>
    <row r="1125" spans="4:4" x14ac:dyDescent="0.35">
      <c r="D1125" s="5"/>
    </row>
    <row r="1126" spans="4:4" x14ac:dyDescent="0.35">
      <c r="D1126" s="5"/>
    </row>
    <row r="1127" spans="4:4" x14ac:dyDescent="0.35">
      <c r="D1127" s="5"/>
    </row>
    <row r="1128" spans="4:4" x14ac:dyDescent="0.35">
      <c r="D1128" s="5"/>
    </row>
    <row r="1129" spans="4:4" x14ac:dyDescent="0.35">
      <c r="D1129" s="5"/>
    </row>
    <row r="1130" spans="4:4" x14ac:dyDescent="0.35">
      <c r="D1130" s="5"/>
    </row>
    <row r="1131" spans="4:4" x14ac:dyDescent="0.35">
      <c r="D1131" s="5"/>
    </row>
    <row r="1132" spans="4:4" x14ac:dyDescent="0.35">
      <c r="D1132" s="5"/>
    </row>
    <row r="1133" spans="4:4" x14ac:dyDescent="0.35">
      <c r="D1133" s="5"/>
    </row>
    <row r="1134" spans="4:4" x14ac:dyDescent="0.35">
      <c r="D1134" s="5"/>
    </row>
    <row r="1135" spans="4:4" x14ac:dyDescent="0.35">
      <c r="D1135" s="5"/>
    </row>
    <row r="1136" spans="4:4" x14ac:dyDescent="0.35">
      <c r="D1136" s="5"/>
    </row>
    <row r="1137" spans="4:4" x14ac:dyDescent="0.35">
      <c r="D1137" s="5"/>
    </row>
    <row r="1138" spans="4:4" x14ac:dyDescent="0.35">
      <c r="D1138" s="5"/>
    </row>
    <row r="1139" spans="4:4" x14ac:dyDescent="0.35">
      <c r="D1139" s="5"/>
    </row>
    <row r="1140" spans="4:4" x14ac:dyDescent="0.35">
      <c r="D1140" s="5"/>
    </row>
    <row r="1141" spans="4:4" x14ac:dyDescent="0.35">
      <c r="D1141" s="5"/>
    </row>
    <row r="1142" spans="4:4" x14ac:dyDescent="0.35">
      <c r="D1142" s="5"/>
    </row>
    <row r="1143" spans="4:4" x14ac:dyDescent="0.35">
      <c r="D1143" s="5"/>
    </row>
    <row r="1144" spans="4:4" x14ac:dyDescent="0.35">
      <c r="D1144" s="5"/>
    </row>
    <row r="1145" spans="4:4" x14ac:dyDescent="0.35">
      <c r="D1145" s="5"/>
    </row>
    <row r="1146" spans="4:4" x14ac:dyDescent="0.35">
      <c r="D1146" s="5"/>
    </row>
    <row r="1147" spans="4:4" x14ac:dyDescent="0.35">
      <c r="D1147" s="5"/>
    </row>
    <row r="1148" spans="4:4" x14ac:dyDescent="0.35">
      <c r="D1148" s="5"/>
    </row>
    <row r="1149" spans="4:4" x14ac:dyDescent="0.35">
      <c r="D1149" s="5"/>
    </row>
    <row r="1150" spans="4:4" x14ac:dyDescent="0.35">
      <c r="D1150" s="5"/>
    </row>
    <row r="1151" spans="4:4" x14ac:dyDescent="0.35">
      <c r="D1151" s="5"/>
    </row>
    <row r="1152" spans="4:4" x14ac:dyDescent="0.35">
      <c r="D1152" s="5"/>
    </row>
    <row r="1153" spans="4:4" x14ac:dyDescent="0.35">
      <c r="D1153" s="5"/>
    </row>
    <row r="1154" spans="4:4" x14ac:dyDescent="0.35">
      <c r="D1154" s="5"/>
    </row>
    <row r="1155" spans="4:4" x14ac:dyDescent="0.35">
      <c r="D1155" s="5"/>
    </row>
    <row r="1156" spans="4:4" x14ac:dyDescent="0.35">
      <c r="D1156" s="5"/>
    </row>
    <row r="1157" spans="4:4" x14ac:dyDescent="0.35">
      <c r="D1157" s="5"/>
    </row>
    <row r="1158" spans="4:4" x14ac:dyDescent="0.35">
      <c r="D1158" s="5"/>
    </row>
    <row r="1159" spans="4:4" x14ac:dyDescent="0.35">
      <c r="D1159" s="5"/>
    </row>
    <row r="1160" spans="4:4" x14ac:dyDescent="0.35">
      <c r="D1160" s="5"/>
    </row>
    <row r="1161" spans="4:4" x14ac:dyDescent="0.35">
      <c r="D1161" s="5"/>
    </row>
    <row r="1162" spans="4:4" x14ac:dyDescent="0.35">
      <c r="D1162" s="5"/>
    </row>
    <row r="1163" spans="4:4" x14ac:dyDescent="0.35">
      <c r="D1163" s="5"/>
    </row>
    <row r="1164" spans="4:4" x14ac:dyDescent="0.35">
      <c r="D1164" s="5"/>
    </row>
    <row r="1165" spans="4:4" x14ac:dyDescent="0.35">
      <c r="D1165" s="5"/>
    </row>
    <row r="1166" spans="4:4" x14ac:dyDescent="0.35">
      <c r="D1166" s="5"/>
    </row>
    <row r="1167" spans="4:4" x14ac:dyDescent="0.35">
      <c r="D1167" s="5"/>
    </row>
    <row r="1168" spans="4:4" x14ac:dyDescent="0.35">
      <c r="D1168" s="5"/>
    </row>
    <row r="1169" spans="4:4" x14ac:dyDescent="0.35">
      <c r="D1169" s="5"/>
    </row>
    <row r="1170" spans="4:4" x14ac:dyDescent="0.35">
      <c r="D1170" s="5"/>
    </row>
    <row r="1171" spans="4:4" x14ac:dyDescent="0.35">
      <c r="D1171" s="5"/>
    </row>
    <row r="1172" spans="4:4" x14ac:dyDescent="0.35">
      <c r="D1172" s="5"/>
    </row>
    <row r="1173" spans="4:4" x14ac:dyDescent="0.35">
      <c r="D1173" s="5"/>
    </row>
    <row r="1174" spans="4:4" x14ac:dyDescent="0.35">
      <c r="D1174" s="5"/>
    </row>
    <row r="1175" spans="4:4" x14ac:dyDescent="0.35">
      <c r="D1175" s="5"/>
    </row>
    <row r="1176" spans="4:4" x14ac:dyDescent="0.35">
      <c r="D1176" s="5"/>
    </row>
    <row r="1177" spans="4:4" x14ac:dyDescent="0.35">
      <c r="D1177" s="5"/>
    </row>
    <row r="1178" spans="4:4" x14ac:dyDescent="0.35">
      <c r="D1178" s="5"/>
    </row>
    <row r="1179" spans="4:4" x14ac:dyDescent="0.35">
      <c r="D1179" s="5"/>
    </row>
    <row r="1180" spans="4:4" x14ac:dyDescent="0.35">
      <c r="D1180" s="5"/>
    </row>
    <row r="1181" spans="4:4" x14ac:dyDescent="0.35">
      <c r="D1181" s="5"/>
    </row>
    <row r="1182" spans="4:4" x14ac:dyDescent="0.35">
      <c r="D1182" s="5"/>
    </row>
    <row r="1183" spans="4:4" x14ac:dyDescent="0.35">
      <c r="D1183" s="5"/>
    </row>
    <row r="1184" spans="4:4" x14ac:dyDescent="0.35">
      <c r="D1184" s="5"/>
    </row>
    <row r="1185" spans="4:4" x14ac:dyDescent="0.35">
      <c r="D1185" s="5"/>
    </row>
    <row r="1186" spans="4:4" x14ac:dyDescent="0.35">
      <c r="D1186" s="5"/>
    </row>
    <row r="1187" spans="4:4" x14ac:dyDescent="0.35">
      <c r="D1187" s="5"/>
    </row>
    <row r="1188" spans="4:4" x14ac:dyDescent="0.35">
      <c r="D1188" s="5"/>
    </row>
    <row r="1189" spans="4:4" x14ac:dyDescent="0.35">
      <c r="D1189" s="5"/>
    </row>
    <row r="1190" spans="4:4" x14ac:dyDescent="0.35">
      <c r="D1190" s="5"/>
    </row>
    <row r="1191" spans="4:4" x14ac:dyDescent="0.35">
      <c r="D1191" s="5"/>
    </row>
    <row r="1192" spans="4:4" x14ac:dyDescent="0.35">
      <c r="D1192" s="5"/>
    </row>
    <row r="1193" spans="4:4" x14ac:dyDescent="0.35">
      <c r="D1193" s="5"/>
    </row>
    <row r="1194" spans="4:4" x14ac:dyDescent="0.35">
      <c r="D1194" s="5"/>
    </row>
    <row r="1195" spans="4:4" x14ac:dyDescent="0.35">
      <c r="D1195" s="5"/>
    </row>
    <row r="1196" spans="4:4" x14ac:dyDescent="0.35">
      <c r="D1196" s="5"/>
    </row>
    <row r="1197" spans="4:4" x14ac:dyDescent="0.35">
      <c r="D1197" s="5"/>
    </row>
    <row r="1198" spans="4:4" x14ac:dyDescent="0.35">
      <c r="D1198" s="5"/>
    </row>
    <row r="1199" spans="4:4" x14ac:dyDescent="0.35">
      <c r="D1199" s="5"/>
    </row>
    <row r="1200" spans="4:4" x14ac:dyDescent="0.35">
      <c r="D1200" s="5"/>
    </row>
    <row r="1201" spans="4:4" x14ac:dyDescent="0.35">
      <c r="D1201" s="5"/>
    </row>
    <row r="1202" spans="4:4" x14ac:dyDescent="0.35">
      <c r="D1202" s="5"/>
    </row>
    <row r="1203" spans="4:4" x14ac:dyDescent="0.35">
      <c r="D1203" s="5"/>
    </row>
    <row r="1204" spans="4:4" x14ac:dyDescent="0.35">
      <c r="D1204" s="5"/>
    </row>
    <row r="1205" spans="4:4" x14ac:dyDescent="0.35">
      <c r="D1205" s="5"/>
    </row>
    <row r="1206" spans="4:4" x14ac:dyDescent="0.35">
      <c r="D1206" s="5"/>
    </row>
    <row r="1207" spans="4:4" x14ac:dyDescent="0.35">
      <c r="D1207" s="5"/>
    </row>
    <row r="1208" spans="4:4" x14ac:dyDescent="0.35">
      <c r="D1208" s="5"/>
    </row>
    <row r="1209" spans="4:4" x14ac:dyDescent="0.35">
      <c r="D1209" s="5"/>
    </row>
    <row r="1210" spans="4:4" x14ac:dyDescent="0.35">
      <c r="D1210" s="5"/>
    </row>
    <row r="1211" spans="4:4" x14ac:dyDescent="0.35">
      <c r="D1211" s="5"/>
    </row>
    <row r="1212" spans="4:4" x14ac:dyDescent="0.35">
      <c r="D1212" s="5"/>
    </row>
    <row r="1213" spans="4:4" x14ac:dyDescent="0.35">
      <c r="D1213" s="5"/>
    </row>
    <row r="1214" spans="4:4" x14ac:dyDescent="0.35">
      <c r="D1214" s="5"/>
    </row>
    <row r="1215" spans="4:4" x14ac:dyDescent="0.35">
      <c r="D1215" s="5"/>
    </row>
    <row r="1216" spans="4:4" x14ac:dyDescent="0.35">
      <c r="D1216" s="5"/>
    </row>
    <row r="1217" spans="4:4" x14ac:dyDescent="0.35">
      <c r="D1217" s="5"/>
    </row>
    <row r="1218" spans="4:4" x14ac:dyDescent="0.35">
      <c r="D1218" s="5"/>
    </row>
    <row r="1219" spans="4:4" x14ac:dyDescent="0.35">
      <c r="D1219" s="5"/>
    </row>
    <row r="1220" spans="4:4" x14ac:dyDescent="0.35">
      <c r="D1220" s="5"/>
    </row>
    <row r="1221" spans="4:4" x14ac:dyDescent="0.35">
      <c r="D1221" s="5"/>
    </row>
    <row r="1222" spans="4:4" x14ac:dyDescent="0.35">
      <c r="D1222" s="5"/>
    </row>
    <row r="1223" spans="4:4" x14ac:dyDescent="0.35">
      <c r="D1223" s="5"/>
    </row>
    <row r="1224" spans="4:4" x14ac:dyDescent="0.35">
      <c r="D1224" s="5"/>
    </row>
    <row r="1225" spans="4:4" x14ac:dyDescent="0.35">
      <c r="D1225" s="5"/>
    </row>
    <row r="1226" spans="4:4" x14ac:dyDescent="0.35">
      <c r="D1226" s="5"/>
    </row>
    <row r="1227" spans="4:4" x14ac:dyDescent="0.35">
      <c r="D1227" s="5"/>
    </row>
    <row r="1228" spans="4:4" x14ac:dyDescent="0.35">
      <c r="D1228" s="5"/>
    </row>
    <row r="1229" spans="4:4" x14ac:dyDescent="0.35">
      <c r="D1229" s="5"/>
    </row>
    <row r="1230" spans="4:4" x14ac:dyDescent="0.35">
      <c r="D1230" s="5"/>
    </row>
    <row r="1231" spans="4:4" x14ac:dyDescent="0.35">
      <c r="D1231" s="5"/>
    </row>
    <row r="1232" spans="4:4" x14ac:dyDescent="0.35">
      <c r="D1232" s="5"/>
    </row>
    <row r="1233" spans="4:4" x14ac:dyDescent="0.35">
      <c r="D1233" s="5"/>
    </row>
    <row r="1234" spans="4:4" x14ac:dyDescent="0.35">
      <c r="D1234" s="5"/>
    </row>
    <row r="1235" spans="4:4" x14ac:dyDescent="0.35">
      <c r="D1235" s="5"/>
    </row>
    <row r="1236" spans="4:4" x14ac:dyDescent="0.35">
      <c r="D1236" s="5"/>
    </row>
    <row r="1237" spans="4:4" x14ac:dyDescent="0.35">
      <c r="D1237" s="5"/>
    </row>
    <row r="1238" spans="4:4" x14ac:dyDescent="0.35">
      <c r="D1238" s="5"/>
    </row>
    <row r="1239" spans="4:4" x14ac:dyDescent="0.35">
      <c r="D1239" s="5"/>
    </row>
    <row r="1240" spans="4:4" x14ac:dyDescent="0.35">
      <c r="D1240" s="5"/>
    </row>
    <row r="1241" spans="4:4" x14ac:dyDescent="0.35">
      <c r="D1241" s="5"/>
    </row>
    <row r="1242" spans="4:4" x14ac:dyDescent="0.35">
      <c r="D1242" s="5"/>
    </row>
    <row r="1243" spans="4:4" x14ac:dyDescent="0.35">
      <c r="D1243" s="5"/>
    </row>
    <row r="1244" spans="4:4" x14ac:dyDescent="0.35">
      <c r="D1244" s="5"/>
    </row>
    <row r="1245" spans="4:4" x14ac:dyDescent="0.35">
      <c r="D1245" s="5"/>
    </row>
    <row r="1246" spans="4:4" x14ac:dyDescent="0.35">
      <c r="D1246" s="5"/>
    </row>
    <row r="1247" spans="4:4" x14ac:dyDescent="0.35">
      <c r="D1247" s="5"/>
    </row>
    <row r="1248" spans="4:4" x14ac:dyDescent="0.35">
      <c r="D1248" s="5"/>
    </row>
    <row r="1249" spans="4:4" x14ac:dyDescent="0.35">
      <c r="D1249" s="5"/>
    </row>
    <row r="1250" spans="4:4" x14ac:dyDescent="0.35">
      <c r="D1250" s="5"/>
    </row>
    <row r="1251" spans="4:4" x14ac:dyDescent="0.35">
      <c r="D1251" s="5"/>
    </row>
    <row r="1252" spans="4:4" x14ac:dyDescent="0.35">
      <c r="D1252" s="5"/>
    </row>
    <row r="1253" spans="4:4" x14ac:dyDescent="0.35">
      <c r="D1253" s="5"/>
    </row>
    <row r="1254" spans="4:4" x14ac:dyDescent="0.35">
      <c r="D1254" s="5"/>
    </row>
    <row r="1255" spans="4:4" x14ac:dyDescent="0.35">
      <c r="D1255" s="5"/>
    </row>
    <row r="1256" spans="4:4" x14ac:dyDescent="0.35">
      <c r="D1256" s="5"/>
    </row>
    <row r="1257" spans="4:4" x14ac:dyDescent="0.35">
      <c r="D1257" s="5"/>
    </row>
    <row r="1258" spans="4:4" x14ac:dyDescent="0.35">
      <c r="D1258" s="5"/>
    </row>
    <row r="1259" spans="4:4" x14ac:dyDescent="0.35">
      <c r="D1259" s="5"/>
    </row>
    <row r="1260" spans="4:4" x14ac:dyDescent="0.35">
      <c r="D1260" s="5"/>
    </row>
    <row r="1261" spans="4:4" x14ac:dyDescent="0.35">
      <c r="D1261" s="5"/>
    </row>
    <row r="1262" spans="4:4" x14ac:dyDescent="0.35">
      <c r="D1262" s="5"/>
    </row>
    <row r="1263" spans="4:4" x14ac:dyDescent="0.35">
      <c r="D1263" s="5"/>
    </row>
    <row r="1264" spans="4:4" x14ac:dyDescent="0.35">
      <c r="D1264" s="5"/>
    </row>
    <row r="1265" spans="4:4" x14ac:dyDescent="0.35">
      <c r="D1265" s="5"/>
    </row>
    <row r="1266" spans="4:4" x14ac:dyDescent="0.35">
      <c r="D1266" s="5"/>
    </row>
    <row r="1267" spans="4:4" x14ac:dyDescent="0.35">
      <c r="D1267" s="5"/>
    </row>
    <row r="1268" spans="4:4" x14ac:dyDescent="0.35">
      <c r="D1268" s="5"/>
    </row>
    <row r="1269" spans="4:4" x14ac:dyDescent="0.35">
      <c r="D1269" s="5"/>
    </row>
    <row r="1270" spans="4:4" x14ac:dyDescent="0.35">
      <c r="D1270" s="5"/>
    </row>
    <row r="1271" spans="4:4" x14ac:dyDescent="0.35">
      <c r="D1271" s="5"/>
    </row>
    <row r="1272" spans="4:4" x14ac:dyDescent="0.35">
      <c r="D1272" s="5"/>
    </row>
    <row r="1273" spans="4:4" x14ac:dyDescent="0.35">
      <c r="D1273" s="5"/>
    </row>
    <row r="1274" spans="4:4" x14ac:dyDescent="0.35">
      <c r="D1274" s="5"/>
    </row>
    <row r="1275" spans="4:4" x14ac:dyDescent="0.35">
      <c r="D1275" s="5"/>
    </row>
    <row r="1276" spans="4:4" x14ac:dyDescent="0.35">
      <c r="D1276" s="5"/>
    </row>
    <row r="1277" spans="4:4" x14ac:dyDescent="0.35">
      <c r="D1277" s="5"/>
    </row>
    <row r="1278" spans="4:4" x14ac:dyDescent="0.35">
      <c r="D1278" s="5"/>
    </row>
    <row r="1279" spans="4:4" x14ac:dyDescent="0.35">
      <c r="D1279" s="5"/>
    </row>
    <row r="1280" spans="4:4" x14ac:dyDescent="0.35">
      <c r="D1280" s="5"/>
    </row>
    <row r="1281" spans="4:4" x14ac:dyDescent="0.35">
      <c r="D1281" s="5"/>
    </row>
    <row r="1282" spans="4:4" x14ac:dyDescent="0.35">
      <c r="D1282" s="5"/>
    </row>
    <row r="1283" spans="4:4" x14ac:dyDescent="0.35">
      <c r="D1283" s="5"/>
    </row>
    <row r="1284" spans="4:4" x14ac:dyDescent="0.35">
      <c r="D1284" s="5"/>
    </row>
    <row r="1285" spans="4:4" x14ac:dyDescent="0.35">
      <c r="D1285" s="5"/>
    </row>
    <row r="1286" spans="4:4" x14ac:dyDescent="0.35">
      <c r="D1286" s="5"/>
    </row>
    <row r="1287" spans="4:4" x14ac:dyDescent="0.35">
      <c r="D1287" s="5"/>
    </row>
    <row r="1288" spans="4:4" x14ac:dyDescent="0.35">
      <c r="D1288" s="5"/>
    </row>
    <row r="1289" spans="4:4" x14ac:dyDescent="0.35">
      <c r="D1289" s="5"/>
    </row>
    <row r="1290" spans="4:4" x14ac:dyDescent="0.35">
      <c r="D1290" s="5"/>
    </row>
    <row r="1291" spans="4:4" x14ac:dyDescent="0.35">
      <c r="D1291" s="5"/>
    </row>
    <row r="1292" spans="4:4" x14ac:dyDescent="0.35">
      <c r="D1292" s="5"/>
    </row>
    <row r="1293" spans="4:4" x14ac:dyDescent="0.35">
      <c r="D1293" s="5"/>
    </row>
    <row r="1294" spans="4:4" x14ac:dyDescent="0.35">
      <c r="D1294" s="5"/>
    </row>
    <row r="1295" spans="4:4" x14ac:dyDescent="0.35">
      <c r="D1295" s="5"/>
    </row>
    <row r="1296" spans="4:4" x14ac:dyDescent="0.35">
      <c r="D1296" s="5"/>
    </row>
    <row r="1297" spans="4:4" x14ac:dyDescent="0.35">
      <c r="D1297" s="5"/>
    </row>
    <row r="1298" spans="4:4" x14ac:dyDescent="0.35">
      <c r="D1298" s="5"/>
    </row>
    <row r="1299" spans="4:4" x14ac:dyDescent="0.35">
      <c r="D1299" s="5"/>
    </row>
    <row r="1300" spans="4:4" x14ac:dyDescent="0.35">
      <c r="D1300" s="5"/>
    </row>
    <row r="1301" spans="4:4" x14ac:dyDescent="0.35">
      <c r="D1301" s="5"/>
    </row>
    <row r="1302" spans="4:4" x14ac:dyDescent="0.35">
      <c r="D1302" s="5"/>
    </row>
    <row r="1303" spans="4:4" x14ac:dyDescent="0.35">
      <c r="D1303" s="5"/>
    </row>
    <row r="1304" spans="4:4" x14ac:dyDescent="0.35">
      <c r="D1304" s="5"/>
    </row>
    <row r="1305" spans="4:4" x14ac:dyDescent="0.35">
      <c r="D1305" s="5"/>
    </row>
    <row r="1306" spans="4:4" x14ac:dyDescent="0.35">
      <c r="D1306" s="5"/>
    </row>
    <row r="1307" spans="4:4" x14ac:dyDescent="0.35">
      <c r="D1307" s="5"/>
    </row>
    <row r="1308" spans="4:4" x14ac:dyDescent="0.35">
      <c r="D1308" s="5"/>
    </row>
    <row r="1309" spans="4:4" x14ac:dyDescent="0.35">
      <c r="D1309" s="5"/>
    </row>
    <row r="1310" spans="4:4" x14ac:dyDescent="0.35">
      <c r="D1310" s="5"/>
    </row>
    <row r="1311" spans="4:4" x14ac:dyDescent="0.35">
      <c r="D1311" s="5"/>
    </row>
    <row r="1312" spans="4:4" x14ac:dyDescent="0.35">
      <c r="D1312" s="5"/>
    </row>
    <row r="1313" spans="4:4" x14ac:dyDescent="0.35">
      <c r="D1313" s="5"/>
    </row>
    <row r="1314" spans="4:4" x14ac:dyDescent="0.35">
      <c r="D1314" s="5"/>
    </row>
    <row r="1315" spans="4:4" x14ac:dyDescent="0.35">
      <c r="D1315" s="5"/>
    </row>
    <row r="1316" spans="4:4" x14ac:dyDescent="0.35">
      <c r="D1316" s="5"/>
    </row>
    <row r="1317" spans="4:4" x14ac:dyDescent="0.35">
      <c r="D1317" s="5"/>
    </row>
    <row r="1318" spans="4:4" x14ac:dyDescent="0.35">
      <c r="D1318" s="5"/>
    </row>
    <row r="1319" spans="4:4" x14ac:dyDescent="0.35">
      <c r="D1319" s="5"/>
    </row>
    <row r="1320" spans="4:4" x14ac:dyDescent="0.35">
      <c r="D1320" s="5"/>
    </row>
    <row r="1321" spans="4:4" x14ac:dyDescent="0.35">
      <c r="D1321" s="5"/>
    </row>
    <row r="1322" spans="4:4" x14ac:dyDescent="0.35">
      <c r="D1322" s="5"/>
    </row>
    <row r="1323" spans="4:4" x14ac:dyDescent="0.35">
      <c r="D1323" s="5"/>
    </row>
    <row r="1324" spans="4:4" x14ac:dyDescent="0.35">
      <c r="D1324" s="5"/>
    </row>
    <row r="1325" spans="4:4" x14ac:dyDescent="0.35">
      <c r="D1325" s="5"/>
    </row>
    <row r="1326" spans="4:4" x14ac:dyDescent="0.35">
      <c r="D1326" s="5"/>
    </row>
    <row r="1327" spans="4:4" x14ac:dyDescent="0.35">
      <c r="D1327" s="5"/>
    </row>
    <row r="1328" spans="4:4" x14ac:dyDescent="0.35">
      <c r="D1328" s="5"/>
    </row>
    <row r="1329" spans="4:4" x14ac:dyDescent="0.35">
      <c r="D1329" s="5"/>
    </row>
    <row r="1330" spans="4:4" x14ac:dyDescent="0.35">
      <c r="D1330" s="5"/>
    </row>
    <row r="1331" spans="4:4" x14ac:dyDescent="0.35">
      <c r="D1331" s="5"/>
    </row>
    <row r="1332" spans="4:4" x14ac:dyDescent="0.35">
      <c r="D1332" s="5"/>
    </row>
    <row r="1333" spans="4:4" x14ac:dyDescent="0.35">
      <c r="D1333" s="5"/>
    </row>
    <row r="1334" spans="4:4" x14ac:dyDescent="0.35">
      <c r="D1334" s="5"/>
    </row>
    <row r="1335" spans="4:4" x14ac:dyDescent="0.35">
      <c r="D1335" s="5"/>
    </row>
    <row r="1336" spans="4:4" x14ac:dyDescent="0.35">
      <c r="D1336" s="5"/>
    </row>
    <row r="1337" spans="4:4" x14ac:dyDescent="0.35">
      <c r="D1337" s="5"/>
    </row>
    <row r="1338" spans="4:4" x14ac:dyDescent="0.35">
      <c r="D1338" s="5"/>
    </row>
    <row r="1339" spans="4:4" x14ac:dyDescent="0.35">
      <c r="D1339" s="5"/>
    </row>
    <row r="1340" spans="4:4" x14ac:dyDescent="0.35">
      <c r="D1340" s="5"/>
    </row>
    <row r="1341" spans="4:4" x14ac:dyDescent="0.35">
      <c r="D1341" s="5"/>
    </row>
    <row r="1342" spans="4:4" x14ac:dyDescent="0.35">
      <c r="D1342" s="5"/>
    </row>
    <row r="1343" spans="4:4" x14ac:dyDescent="0.35">
      <c r="D1343" s="5"/>
    </row>
    <row r="1344" spans="4:4" x14ac:dyDescent="0.35">
      <c r="D1344" s="5"/>
    </row>
    <row r="1345" spans="4:4" x14ac:dyDescent="0.35">
      <c r="D1345" s="5"/>
    </row>
    <row r="1346" spans="4:4" x14ac:dyDescent="0.35">
      <c r="D1346" s="5"/>
    </row>
    <row r="1347" spans="4:4" x14ac:dyDescent="0.35">
      <c r="D1347" s="5"/>
    </row>
    <row r="1348" spans="4:4" x14ac:dyDescent="0.35">
      <c r="D1348" s="5"/>
    </row>
    <row r="1349" spans="4:4" x14ac:dyDescent="0.35">
      <c r="D1349" s="5"/>
    </row>
    <row r="1350" spans="4:4" x14ac:dyDescent="0.35">
      <c r="D1350" s="5"/>
    </row>
    <row r="1351" spans="4:4" x14ac:dyDescent="0.35">
      <c r="D1351" s="5"/>
    </row>
    <row r="1352" spans="4:4" x14ac:dyDescent="0.35">
      <c r="D1352" s="5"/>
    </row>
    <row r="1353" spans="4:4" x14ac:dyDescent="0.35">
      <c r="D1353" s="5"/>
    </row>
    <row r="1354" spans="4:4" x14ac:dyDescent="0.35">
      <c r="D1354" s="5"/>
    </row>
    <row r="1355" spans="4:4" x14ac:dyDescent="0.35">
      <c r="D1355" s="5"/>
    </row>
    <row r="1356" spans="4:4" x14ac:dyDescent="0.35">
      <c r="D1356" s="5"/>
    </row>
    <row r="1357" spans="4:4" x14ac:dyDescent="0.35">
      <c r="D1357" s="5"/>
    </row>
    <row r="1358" spans="4:4" x14ac:dyDescent="0.35">
      <c r="D1358" s="5"/>
    </row>
    <row r="1359" spans="4:4" x14ac:dyDescent="0.35">
      <c r="D1359" s="5"/>
    </row>
    <row r="1360" spans="4:4" x14ac:dyDescent="0.35">
      <c r="D1360" s="5"/>
    </row>
    <row r="1361" spans="4:4" x14ac:dyDescent="0.35">
      <c r="D1361" s="5"/>
    </row>
    <row r="1362" spans="4:4" x14ac:dyDescent="0.35">
      <c r="D1362" s="5"/>
    </row>
    <row r="1363" spans="4:4" x14ac:dyDescent="0.35">
      <c r="D1363" s="5"/>
    </row>
    <row r="1364" spans="4:4" x14ac:dyDescent="0.35">
      <c r="D1364" s="5"/>
    </row>
    <row r="1365" spans="4:4" x14ac:dyDescent="0.35">
      <c r="D1365" s="5"/>
    </row>
    <row r="1366" spans="4:4" x14ac:dyDescent="0.35">
      <c r="D1366" s="5"/>
    </row>
    <row r="1367" spans="4:4" x14ac:dyDescent="0.35">
      <c r="D1367" s="5"/>
    </row>
    <row r="1368" spans="4:4" x14ac:dyDescent="0.35">
      <c r="D1368" s="5"/>
    </row>
    <row r="1369" spans="4:4" x14ac:dyDescent="0.35">
      <c r="D1369" s="5"/>
    </row>
    <row r="1370" spans="4:4" x14ac:dyDescent="0.35">
      <c r="D1370" s="5"/>
    </row>
    <row r="1371" spans="4:4" x14ac:dyDescent="0.35">
      <c r="D1371" s="5"/>
    </row>
    <row r="1372" spans="4:4" x14ac:dyDescent="0.35">
      <c r="D1372" s="5"/>
    </row>
    <row r="1373" spans="4:4" x14ac:dyDescent="0.35">
      <c r="D1373" s="5"/>
    </row>
    <row r="1374" spans="4:4" x14ac:dyDescent="0.35">
      <c r="D1374" s="5"/>
    </row>
    <row r="1375" spans="4:4" x14ac:dyDescent="0.35">
      <c r="D1375" s="5"/>
    </row>
    <row r="1376" spans="4:4" x14ac:dyDescent="0.35">
      <c r="D1376" s="5"/>
    </row>
    <row r="1377" spans="4:4" x14ac:dyDescent="0.35">
      <c r="D1377" s="5"/>
    </row>
    <row r="1378" spans="4:4" x14ac:dyDescent="0.35">
      <c r="D1378" s="5"/>
    </row>
    <row r="1379" spans="4:4" x14ac:dyDescent="0.35">
      <c r="D1379" s="5"/>
    </row>
    <row r="1380" spans="4:4" x14ac:dyDescent="0.35">
      <c r="D1380" s="5"/>
    </row>
    <row r="1381" spans="4:4" x14ac:dyDescent="0.35">
      <c r="D1381" s="5"/>
    </row>
    <row r="1382" spans="4:4" x14ac:dyDescent="0.35">
      <c r="D1382" s="5"/>
    </row>
    <row r="1383" spans="4:4" x14ac:dyDescent="0.35">
      <c r="D1383" s="5"/>
    </row>
    <row r="1384" spans="4:4" x14ac:dyDescent="0.35">
      <c r="D1384" s="5"/>
    </row>
    <row r="1385" spans="4:4" x14ac:dyDescent="0.35">
      <c r="D1385" s="5"/>
    </row>
    <row r="1386" spans="4:4" x14ac:dyDescent="0.35">
      <c r="D1386" s="5"/>
    </row>
    <row r="1387" spans="4:4" x14ac:dyDescent="0.35">
      <c r="D1387" s="5"/>
    </row>
    <row r="1388" spans="4:4" x14ac:dyDescent="0.35">
      <c r="D1388" s="5"/>
    </row>
    <row r="1389" spans="4:4" x14ac:dyDescent="0.35">
      <c r="D1389" s="5"/>
    </row>
    <row r="1390" spans="4:4" x14ac:dyDescent="0.35">
      <c r="D1390" s="5"/>
    </row>
    <row r="1391" spans="4:4" x14ac:dyDescent="0.35">
      <c r="D1391" s="5"/>
    </row>
    <row r="1392" spans="4:4" x14ac:dyDescent="0.35">
      <c r="D1392" s="5"/>
    </row>
    <row r="1393" spans="4:4" x14ac:dyDescent="0.35">
      <c r="D1393" s="5"/>
    </row>
    <row r="1394" spans="4:4" x14ac:dyDescent="0.35">
      <c r="D1394" s="5"/>
    </row>
    <row r="1395" spans="4:4" x14ac:dyDescent="0.35">
      <c r="D1395" s="5"/>
    </row>
    <row r="1396" spans="4:4" x14ac:dyDescent="0.35">
      <c r="D1396" s="5"/>
    </row>
    <row r="1397" spans="4:4" x14ac:dyDescent="0.35">
      <c r="D1397" s="5"/>
    </row>
    <row r="1398" spans="4:4" x14ac:dyDescent="0.35">
      <c r="D1398" s="5"/>
    </row>
    <row r="1399" spans="4:4" x14ac:dyDescent="0.35">
      <c r="D1399" s="5"/>
    </row>
    <row r="1400" spans="4:4" x14ac:dyDescent="0.35">
      <c r="D1400" s="5"/>
    </row>
    <row r="1401" spans="4:4" x14ac:dyDescent="0.35">
      <c r="D1401" s="5"/>
    </row>
    <row r="1402" spans="4:4" x14ac:dyDescent="0.35">
      <c r="D1402" s="5"/>
    </row>
    <row r="1403" spans="4:4" x14ac:dyDescent="0.35">
      <c r="D1403" s="5"/>
    </row>
    <row r="1404" spans="4:4" x14ac:dyDescent="0.35">
      <c r="D1404" s="5"/>
    </row>
    <row r="1405" spans="4:4" x14ac:dyDescent="0.35">
      <c r="D1405" s="5"/>
    </row>
    <row r="1406" spans="4:4" x14ac:dyDescent="0.35">
      <c r="D1406" s="5"/>
    </row>
    <row r="1407" spans="4:4" x14ac:dyDescent="0.35">
      <c r="D1407" s="5"/>
    </row>
    <row r="1408" spans="4:4" x14ac:dyDescent="0.35">
      <c r="D1408" s="5"/>
    </row>
    <row r="1409" spans="4:4" x14ac:dyDescent="0.35">
      <c r="D1409" s="5"/>
    </row>
    <row r="1410" spans="4:4" x14ac:dyDescent="0.35">
      <c r="D1410" s="5"/>
    </row>
    <row r="1411" spans="4:4" x14ac:dyDescent="0.35">
      <c r="D1411" s="5"/>
    </row>
    <row r="1412" spans="4:4" x14ac:dyDescent="0.35">
      <c r="D1412" s="5"/>
    </row>
    <row r="1413" spans="4:4" x14ac:dyDescent="0.35">
      <c r="D1413" s="5"/>
    </row>
    <row r="1414" spans="4:4" x14ac:dyDescent="0.35">
      <c r="D1414" s="5"/>
    </row>
    <row r="1415" spans="4:4" x14ac:dyDescent="0.35">
      <c r="D1415" s="5"/>
    </row>
    <row r="1416" spans="4:4" x14ac:dyDescent="0.35">
      <c r="D1416" s="5"/>
    </row>
    <row r="1417" spans="4:4" x14ac:dyDescent="0.35">
      <c r="D1417" s="5"/>
    </row>
    <row r="1418" spans="4:4" x14ac:dyDescent="0.35">
      <c r="D1418" s="5"/>
    </row>
    <row r="1419" spans="4:4" x14ac:dyDescent="0.35">
      <c r="D1419" s="5"/>
    </row>
    <row r="1420" spans="4:4" x14ac:dyDescent="0.35">
      <c r="D1420" s="5"/>
    </row>
    <row r="1421" spans="4:4" x14ac:dyDescent="0.35">
      <c r="D1421" s="5"/>
    </row>
    <row r="1422" spans="4:4" x14ac:dyDescent="0.35">
      <c r="D1422" s="5"/>
    </row>
    <row r="1423" spans="4:4" x14ac:dyDescent="0.35">
      <c r="D1423" s="5"/>
    </row>
    <row r="1424" spans="4:4" x14ac:dyDescent="0.35">
      <c r="D1424" s="5"/>
    </row>
    <row r="1425" spans="4:4" x14ac:dyDescent="0.35">
      <c r="D1425" s="5"/>
    </row>
    <row r="1426" spans="4:4" x14ac:dyDescent="0.35">
      <c r="D1426" s="5"/>
    </row>
    <row r="1427" spans="4:4" x14ac:dyDescent="0.35">
      <c r="D1427" s="5"/>
    </row>
    <row r="1428" spans="4:4" x14ac:dyDescent="0.35">
      <c r="D1428" s="5"/>
    </row>
    <row r="1429" spans="4:4" x14ac:dyDescent="0.35">
      <c r="D1429" s="5"/>
    </row>
    <row r="1430" spans="4:4" x14ac:dyDescent="0.35">
      <c r="D1430" s="5"/>
    </row>
    <row r="1431" spans="4:4" x14ac:dyDescent="0.35">
      <c r="D1431" s="5"/>
    </row>
    <row r="1432" spans="4:4" x14ac:dyDescent="0.35">
      <c r="D1432" s="5"/>
    </row>
    <row r="1433" spans="4:4" x14ac:dyDescent="0.35">
      <c r="D1433" s="5"/>
    </row>
    <row r="1434" spans="4:4" x14ac:dyDescent="0.35">
      <c r="D1434" s="5"/>
    </row>
    <row r="1435" spans="4:4" x14ac:dyDescent="0.35">
      <c r="D1435" s="5"/>
    </row>
    <row r="1436" spans="4:4" x14ac:dyDescent="0.35">
      <c r="D1436" s="5"/>
    </row>
    <row r="1437" spans="4:4" x14ac:dyDescent="0.35">
      <c r="D1437" s="5"/>
    </row>
    <row r="1438" spans="4:4" x14ac:dyDescent="0.35">
      <c r="D1438" s="5"/>
    </row>
    <row r="1439" spans="4:4" x14ac:dyDescent="0.35">
      <c r="D1439" s="5"/>
    </row>
    <row r="1440" spans="4:4" x14ac:dyDescent="0.35">
      <c r="D1440" s="5"/>
    </row>
    <row r="1441" spans="4:4" x14ac:dyDescent="0.35">
      <c r="D1441" s="5"/>
    </row>
    <row r="1442" spans="4:4" x14ac:dyDescent="0.35">
      <c r="D1442" s="5"/>
    </row>
    <row r="1443" spans="4:4" x14ac:dyDescent="0.35">
      <c r="D1443" s="5"/>
    </row>
    <row r="1444" spans="4:4" x14ac:dyDescent="0.35">
      <c r="D1444" s="5"/>
    </row>
    <row r="1445" spans="4:4" x14ac:dyDescent="0.35">
      <c r="D1445" s="5"/>
    </row>
    <row r="1446" spans="4:4" x14ac:dyDescent="0.35">
      <c r="D1446" s="5"/>
    </row>
    <row r="1447" spans="4:4" x14ac:dyDescent="0.35">
      <c r="D1447" s="5"/>
    </row>
    <row r="1448" spans="4:4" x14ac:dyDescent="0.35">
      <c r="D1448" s="5"/>
    </row>
    <row r="1449" spans="4:4" x14ac:dyDescent="0.35">
      <c r="D1449" s="5"/>
    </row>
    <row r="1450" spans="4:4" x14ac:dyDescent="0.35">
      <c r="D1450" s="5"/>
    </row>
    <row r="1451" spans="4:4" x14ac:dyDescent="0.35">
      <c r="D1451" s="5"/>
    </row>
    <row r="1452" spans="4:4" x14ac:dyDescent="0.35">
      <c r="D1452" s="5"/>
    </row>
    <row r="1453" spans="4:4" x14ac:dyDescent="0.35">
      <c r="D1453" s="5"/>
    </row>
    <row r="1454" spans="4:4" x14ac:dyDescent="0.35">
      <c r="D1454" s="5"/>
    </row>
    <row r="1455" spans="4:4" x14ac:dyDescent="0.35">
      <c r="D1455" s="5"/>
    </row>
    <row r="1456" spans="4:4" x14ac:dyDescent="0.35">
      <c r="D1456" s="5"/>
    </row>
    <row r="1457" spans="4:4" x14ac:dyDescent="0.35">
      <c r="D1457" s="5"/>
    </row>
    <row r="1458" spans="4:4" x14ac:dyDescent="0.35">
      <c r="D1458" s="5"/>
    </row>
    <row r="1459" spans="4:4" x14ac:dyDescent="0.35">
      <c r="D1459" s="5"/>
    </row>
    <row r="1460" spans="4:4" x14ac:dyDescent="0.35">
      <c r="D1460" s="5"/>
    </row>
    <row r="1461" spans="4:4" x14ac:dyDescent="0.35">
      <c r="D1461" s="5"/>
    </row>
    <row r="1462" spans="4:4" x14ac:dyDescent="0.35">
      <c r="D1462" s="5"/>
    </row>
    <row r="1463" spans="4:4" x14ac:dyDescent="0.35">
      <c r="D1463" s="5"/>
    </row>
    <row r="1464" spans="4:4" x14ac:dyDescent="0.35">
      <c r="D1464" s="5"/>
    </row>
    <row r="1465" spans="4:4" x14ac:dyDescent="0.35">
      <c r="D1465" s="5"/>
    </row>
    <row r="1466" spans="4:4" x14ac:dyDescent="0.35">
      <c r="D1466" s="5"/>
    </row>
    <row r="1467" spans="4:4" x14ac:dyDescent="0.35">
      <c r="D1467" s="5"/>
    </row>
    <row r="1468" spans="4:4" x14ac:dyDescent="0.35">
      <c r="D1468" s="5"/>
    </row>
    <row r="1469" spans="4:4" x14ac:dyDescent="0.35">
      <c r="D1469" s="5"/>
    </row>
    <row r="1470" spans="4:4" x14ac:dyDescent="0.35">
      <c r="D1470" s="5"/>
    </row>
    <row r="1471" spans="4:4" x14ac:dyDescent="0.35">
      <c r="D1471" s="5"/>
    </row>
    <row r="1472" spans="4:4" x14ac:dyDescent="0.35">
      <c r="D1472" s="5"/>
    </row>
    <row r="1473" spans="4:4" x14ac:dyDescent="0.35">
      <c r="D1473" s="5"/>
    </row>
    <row r="1474" spans="4:4" x14ac:dyDescent="0.35">
      <c r="D1474" s="5"/>
    </row>
    <row r="1475" spans="4:4" x14ac:dyDescent="0.35">
      <c r="D1475" s="5"/>
    </row>
    <row r="1476" spans="4:4" x14ac:dyDescent="0.35">
      <c r="D1476" s="5"/>
    </row>
    <row r="1477" spans="4:4" x14ac:dyDescent="0.35">
      <c r="D1477" s="5"/>
    </row>
    <row r="1478" spans="4:4" x14ac:dyDescent="0.35">
      <c r="D1478" s="5"/>
    </row>
    <row r="1479" spans="4:4" x14ac:dyDescent="0.35">
      <c r="D1479" s="5"/>
    </row>
    <row r="1480" spans="4:4" x14ac:dyDescent="0.35">
      <c r="D1480" s="5"/>
    </row>
    <row r="1481" spans="4:4" x14ac:dyDescent="0.35">
      <c r="D1481" s="5"/>
    </row>
    <row r="1482" spans="4:4" x14ac:dyDescent="0.35">
      <c r="D1482" s="5"/>
    </row>
    <row r="1483" spans="4:4" x14ac:dyDescent="0.35">
      <c r="D1483" s="5"/>
    </row>
    <row r="1484" spans="4:4" x14ac:dyDescent="0.35">
      <c r="D1484" s="5"/>
    </row>
    <row r="1485" spans="4:4" x14ac:dyDescent="0.35">
      <c r="D1485" s="5"/>
    </row>
    <row r="1486" spans="4:4" x14ac:dyDescent="0.35">
      <c r="D1486" s="5"/>
    </row>
    <row r="1487" spans="4:4" x14ac:dyDescent="0.35">
      <c r="D1487" s="5"/>
    </row>
    <row r="1488" spans="4:4" x14ac:dyDescent="0.35">
      <c r="D1488" s="5"/>
    </row>
    <row r="1489" spans="4:4" x14ac:dyDescent="0.35">
      <c r="D1489" s="5"/>
    </row>
    <row r="1490" spans="4:4" x14ac:dyDescent="0.35">
      <c r="D1490" s="5"/>
    </row>
    <row r="1491" spans="4:4" x14ac:dyDescent="0.35">
      <c r="D1491" s="5"/>
    </row>
    <row r="1492" spans="4:4" x14ac:dyDescent="0.35">
      <c r="D1492" s="5"/>
    </row>
    <row r="1493" spans="4:4" x14ac:dyDescent="0.35">
      <c r="D1493" s="5"/>
    </row>
    <row r="1494" spans="4:4" x14ac:dyDescent="0.35">
      <c r="D1494" s="5"/>
    </row>
    <row r="1495" spans="4:4" x14ac:dyDescent="0.35">
      <c r="D1495" s="5"/>
    </row>
    <row r="1496" spans="4:4" x14ac:dyDescent="0.35">
      <c r="D1496" s="5"/>
    </row>
    <row r="1497" spans="4:4" x14ac:dyDescent="0.35">
      <c r="D1497" s="5"/>
    </row>
    <row r="1498" spans="4:4" x14ac:dyDescent="0.35">
      <c r="D1498" s="5"/>
    </row>
    <row r="1499" spans="4:4" x14ac:dyDescent="0.35">
      <c r="D1499" s="5"/>
    </row>
    <row r="1500" spans="4:4" x14ac:dyDescent="0.35">
      <c r="D1500" s="5"/>
    </row>
    <row r="1501" spans="4:4" x14ac:dyDescent="0.35">
      <c r="D1501" s="5"/>
    </row>
    <row r="1502" spans="4:4" x14ac:dyDescent="0.35">
      <c r="D1502" s="5"/>
    </row>
    <row r="1503" spans="4:4" x14ac:dyDescent="0.35">
      <c r="D1503" s="5"/>
    </row>
    <row r="1504" spans="4:4" x14ac:dyDescent="0.35">
      <c r="D1504" s="5"/>
    </row>
    <row r="1505" spans="4:4" x14ac:dyDescent="0.35">
      <c r="D1505" s="5"/>
    </row>
    <row r="1506" spans="4:4" x14ac:dyDescent="0.35">
      <c r="D1506" s="5"/>
    </row>
    <row r="1507" spans="4:4" x14ac:dyDescent="0.35">
      <c r="D1507" s="5"/>
    </row>
    <row r="1508" spans="4:4" x14ac:dyDescent="0.35">
      <c r="D1508" s="5"/>
    </row>
    <row r="1509" spans="4:4" x14ac:dyDescent="0.35">
      <c r="D1509" s="5"/>
    </row>
    <row r="1510" spans="4:4" x14ac:dyDescent="0.35">
      <c r="D1510" s="5"/>
    </row>
    <row r="1511" spans="4:4" x14ac:dyDescent="0.35">
      <c r="D1511" s="5"/>
    </row>
    <row r="1512" spans="4:4" x14ac:dyDescent="0.35">
      <c r="D1512" s="5"/>
    </row>
    <row r="1513" spans="4:4" x14ac:dyDescent="0.35">
      <c r="D1513" s="5"/>
    </row>
    <row r="1514" spans="4:4" x14ac:dyDescent="0.35">
      <c r="D1514" s="5"/>
    </row>
    <row r="1515" spans="4:4" x14ac:dyDescent="0.35">
      <c r="D1515" s="5"/>
    </row>
    <row r="1516" spans="4:4" x14ac:dyDescent="0.35">
      <c r="D1516" s="5"/>
    </row>
    <row r="1517" spans="4:4" x14ac:dyDescent="0.35">
      <c r="D1517" s="5"/>
    </row>
    <row r="1518" spans="4:4" x14ac:dyDescent="0.35">
      <c r="D1518" s="5"/>
    </row>
    <row r="1519" spans="4:4" x14ac:dyDescent="0.35">
      <c r="D1519" s="5"/>
    </row>
    <row r="1520" spans="4:4" x14ac:dyDescent="0.35">
      <c r="D1520" s="5"/>
    </row>
    <row r="1521" spans="4:4" x14ac:dyDescent="0.35">
      <c r="D1521" s="5"/>
    </row>
    <row r="1522" spans="4:4" x14ac:dyDescent="0.35">
      <c r="D1522" s="5"/>
    </row>
    <row r="1523" spans="4:4" x14ac:dyDescent="0.35">
      <c r="D1523" s="5"/>
    </row>
    <row r="1524" spans="4:4" x14ac:dyDescent="0.35">
      <c r="D1524" s="5"/>
    </row>
    <row r="1525" spans="4:4" x14ac:dyDescent="0.35">
      <c r="D1525" s="5"/>
    </row>
    <row r="1526" spans="4:4" x14ac:dyDescent="0.35">
      <c r="D1526" s="5"/>
    </row>
    <row r="1527" spans="4:4" x14ac:dyDescent="0.35">
      <c r="D1527" s="5"/>
    </row>
    <row r="1528" spans="4:4" x14ac:dyDescent="0.35">
      <c r="D1528" s="5"/>
    </row>
    <row r="1529" spans="4:4" x14ac:dyDescent="0.35">
      <c r="D1529" s="5"/>
    </row>
    <row r="1530" spans="4:4" x14ac:dyDescent="0.35">
      <c r="D1530" s="5"/>
    </row>
    <row r="1531" spans="4:4" x14ac:dyDescent="0.35">
      <c r="D1531" s="5"/>
    </row>
    <row r="1532" spans="4:4" x14ac:dyDescent="0.35">
      <c r="D1532" s="5"/>
    </row>
    <row r="1533" spans="4:4" x14ac:dyDescent="0.35">
      <c r="D1533" s="5"/>
    </row>
    <row r="1534" spans="4:4" x14ac:dyDescent="0.35">
      <c r="D1534" s="5"/>
    </row>
    <row r="1535" spans="4:4" x14ac:dyDescent="0.35">
      <c r="D1535" s="5"/>
    </row>
    <row r="1536" spans="4:4" x14ac:dyDescent="0.35">
      <c r="D1536" s="5"/>
    </row>
    <row r="1537" spans="4:4" x14ac:dyDescent="0.35">
      <c r="D1537" s="5"/>
    </row>
    <row r="1538" spans="4:4" x14ac:dyDescent="0.35">
      <c r="D1538" s="5"/>
    </row>
    <row r="1539" spans="4:4" x14ac:dyDescent="0.35">
      <c r="D1539" s="5"/>
    </row>
    <row r="1540" spans="4:4" x14ac:dyDescent="0.35">
      <c r="D1540" s="5"/>
    </row>
    <row r="1541" spans="4:4" x14ac:dyDescent="0.35">
      <c r="D1541" s="5"/>
    </row>
    <row r="1542" spans="4:4" x14ac:dyDescent="0.35">
      <c r="D1542" s="5"/>
    </row>
    <row r="1543" spans="4:4" x14ac:dyDescent="0.35">
      <c r="D1543" s="5"/>
    </row>
    <row r="1544" spans="4:4" x14ac:dyDescent="0.35">
      <c r="D1544" s="5"/>
    </row>
    <row r="1545" spans="4:4" x14ac:dyDescent="0.35">
      <c r="D1545" s="5"/>
    </row>
    <row r="1546" spans="4:4" x14ac:dyDescent="0.35">
      <c r="D1546" s="5"/>
    </row>
    <row r="1547" spans="4:4" x14ac:dyDescent="0.35">
      <c r="D1547" s="5"/>
    </row>
    <row r="1548" spans="4:4" x14ac:dyDescent="0.35">
      <c r="D1548" s="5"/>
    </row>
    <row r="1549" spans="4:4" x14ac:dyDescent="0.35">
      <c r="D1549" s="5"/>
    </row>
    <row r="1550" spans="4:4" x14ac:dyDescent="0.35">
      <c r="D1550" s="5"/>
    </row>
    <row r="1551" spans="4:4" x14ac:dyDescent="0.35">
      <c r="D1551" s="5"/>
    </row>
    <row r="1552" spans="4:4" x14ac:dyDescent="0.35">
      <c r="D1552" s="5"/>
    </row>
    <row r="1553" spans="4:4" x14ac:dyDescent="0.35">
      <c r="D1553" s="5"/>
    </row>
    <row r="1554" spans="4:4" x14ac:dyDescent="0.35">
      <c r="D1554" s="5"/>
    </row>
    <row r="1555" spans="4:4" x14ac:dyDescent="0.35">
      <c r="D1555" s="5"/>
    </row>
    <row r="1556" spans="4:4" x14ac:dyDescent="0.35">
      <c r="D1556" s="5"/>
    </row>
    <row r="1557" spans="4:4" x14ac:dyDescent="0.35">
      <c r="D1557" s="5"/>
    </row>
    <row r="1558" spans="4:4" x14ac:dyDescent="0.35">
      <c r="D1558" s="5"/>
    </row>
    <row r="1559" spans="4:4" x14ac:dyDescent="0.35">
      <c r="D1559" s="5"/>
    </row>
    <row r="1560" spans="4:4" x14ac:dyDescent="0.35">
      <c r="D1560" s="5"/>
    </row>
    <row r="1561" spans="4:4" x14ac:dyDescent="0.35">
      <c r="D1561" s="5"/>
    </row>
    <row r="1562" spans="4:4" x14ac:dyDescent="0.35">
      <c r="D1562" s="5"/>
    </row>
    <row r="1563" spans="4:4" x14ac:dyDescent="0.35">
      <c r="D1563" s="5"/>
    </row>
    <row r="1564" spans="4:4" x14ac:dyDescent="0.35">
      <c r="D1564" s="5"/>
    </row>
    <row r="1565" spans="4:4" x14ac:dyDescent="0.35">
      <c r="D1565" s="5"/>
    </row>
    <row r="1566" spans="4:4" x14ac:dyDescent="0.35">
      <c r="D1566" s="5"/>
    </row>
    <row r="1567" spans="4:4" x14ac:dyDescent="0.35">
      <c r="D1567" s="5"/>
    </row>
    <row r="1568" spans="4:4" x14ac:dyDescent="0.35">
      <c r="D1568" s="5"/>
    </row>
    <row r="1569" spans="4:4" x14ac:dyDescent="0.35">
      <c r="D1569" s="5"/>
    </row>
    <row r="1570" spans="4:4" x14ac:dyDescent="0.35">
      <c r="D1570" s="5"/>
    </row>
    <row r="1571" spans="4:4" x14ac:dyDescent="0.35">
      <c r="D1571" s="5"/>
    </row>
    <row r="1572" spans="4:4" x14ac:dyDescent="0.35">
      <c r="D1572" s="5"/>
    </row>
    <row r="1573" spans="4:4" x14ac:dyDescent="0.35">
      <c r="D1573" s="5"/>
    </row>
    <row r="1574" spans="4:4" x14ac:dyDescent="0.35">
      <c r="D1574" s="5"/>
    </row>
    <row r="1575" spans="4:4" x14ac:dyDescent="0.35">
      <c r="D1575" s="5"/>
    </row>
    <row r="1576" spans="4:4" x14ac:dyDescent="0.35">
      <c r="D1576" s="5"/>
    </row>
    <row r="1577" spans="4:4" x14ac:dyDescent="0.35">
      <c r="D1577" s="5"/>
    </row>
    <row r="1578" spans="4:4" x14ac:dyDescent="0.35">
      <c r="D1578" s="5"/>
    </row>
    <row r="1579" spans="4:4" x14ac:dyDescent="0.35">
      <c r="D1579" s="5"/>
    </row>
    <row r="1580" spans="4:4" x14ac:dyDescent="0.35">
      <c r="D1580" s="5"/>
    </row>
    <row r="1581" spans="4:4" x14ac:dyDescent="0.35">
      <c r="D1581" s="5"/>
    </row>
    <row r="1582" spans="4:4" x14ac:dyDescent="0.35">
      <c r="D1582" s="5"/>
    </row>
    <row r="1583" spans="4:4" x14ac:dyDescent="0.35">
      <c r="D1583" s="5"/>
    </row>
    <row r="1584" spans="4:4" x14ac:dyDescent="0.35">
      <c r="D1584" s="5"/>
    </row>
    <row r="1585" spans="4:4" x14ac:dyDescent="0.35">
      <c r="D1585" s="5"/>
    </row>
    <row r="1586" spans="4:4" x14ac:dyDescent="0.35">
      <c r="D1586" s="5"/>
    </row>
    <row r="1587" spans="4:4" x14ac:dyDescent="0.35">
      <c r="D1587" s="5"/>
    </row>
    <row r="1588" spans="4:4" x14ac:dyDescent="0.35">
      <c r="D1588" s="5"/>
    </row>
    <row r="1589" spans="4:4" x14ac:dyDescent="0.35">
      <c r="D1589" s="5"/>
    </row>
    <row r="1590" spans="4:4" x14ac:dyDescent="0.35">
      <c r="D1590" s="5"/>
    </row>
    <row r="1591" spans="4:4" x14ac:dyDescent="0.35">
      <c r="D1591" s="5"/>
    </row>
    <row r="1592" spans="4:4" x14ac:dyDescent="0.35">
      <c r="D1592" s="5"/>
    </row>
    <row r="1593" spans="4:4" x14ac:dyDescent="0.35">
      <c r="D1593" s="5"/>
    </row>
    <row r="1594" spans="4:4" x14ac:dyDescent="0.35">
      <c r="D1594" s="5"/>
    </row>
    <row r="1595" spans="4:4" x14ac:dyDescent="0.35">
      <c r="D1595" s="5"/>
    </row>
    <row r="1596" spans="4:4" x14ac:dyDescent="0.35">
      <c r="D1596" s="5"/>
    </row>
    <row r="1597" spans="4:4" x14ac:dyDescent="0.35">
      <c r="D1597" s="5"/>
    </row>
    <row r="1598" spans="4:4" x14ac:dyDescent="0.35">
      <c r="D1598" s="5"/>
    </row>
    <row r="1599" spans="4:4" x14ac:dyDescent="0.35">
      <c r="D1599" s="5"/>
    </row>
    <row r="1600" spans="4:4" x14ac:dyDescent="0.35">
      <c r="D1600" s="5"/>
    </row>
    <row r="1601" spans="4:4" x14ac:dyDescent="0.35">
      <c r="D1601" s="5"/>
    </row>
    <row r="1602" spans="4:4" x14ac:dyDescent="0.35">
      <c r="D1602" s="5"/>
    </row>
    <row r="1603" spans="4:4" x14ac:dyDescent="0.35">
      <c r="D1603" s="5"/>
    </row>
    <row r="1604" spans="4:4" x14ac:dyDescent="0.35">
      <c r="D1604" s="5"/>
    </row>
    <row r="1605" spans="4:4" x14ac:dyDescent="0.35">
      <c r="D1605" s="5"/>
    </row>
    <row r="1606" spans="4:4" x14ac:dyDescent="0.35">
      <c r="D1606" s="5"/>
    </row>
    <row r="1607" spans="4:4" x14ac:dyDescent="0.35">
      <c r="D1607" s="5"/>
    </row>
    <row r="1608" spans="4:4" x14ac:dyDescent="0.35">
      <c r="D1608" s="5"/>
    </row>
    <row r="1609" spans="4:4" x14ac:dyDescent="0.35">
      <c r="D1609" s="5"/>
    </row>
    <row r="1610" spans="4:4" x14ac:dyDescent="0.35">
      <c r="D1610" s="5"/>
    </row>
    <row r="1611" spans="4:4" x14ac:dyDescent="0.35">
      <c r="D1611" s="5"/>
    </row>
    <row r="1612" spans="4:4" x14ac:dyDescent="0.35">
      <c r="D1612" s="5"/>
    </row>
    <row r="1613" spans="4:4" x14ac:dyDescent="0.35">
      <c r="D1613" s="5"/>
    </row>
    <row r="1614" spans="4:4" x14ac:dyDescent="0.35">
      <c r="D1614" s="5"/>
    </row>
    <row r="1615" spans="4:4" x14ac:dyDescent="0.35">
      <c r="D1615" s="5"/>
    </row>
    <row r="1616" spans="4:4" x14ac:dyDescent="0.35">
      <c r="D1616" s="5"/>
    </row>
    <row r="1617" spans="4:4" x14ac:dyDescent="0.35">
      <c r="D1617" s="5"/>
    </row>
    <row r="1618" spans="4:4" x14ac:dyDescent="0.35">
      <c r="D1618" s="5"/>
    </row>
    <row r="1619" spans="4:4" x14ac:dyDescent="0.35">
      <c r="D1619" s="5"/>
    </row>
    <row r="1620" spans="4:4" x14ac:dyDescent="0.35">
      <c r="D1620" s="5"/>
    </row>
    <row r="1621" spans="4:4" x14ac:dyDescent="0.35">
      <c r="D1621" s="5"/>
    </row>
    <row r="1622" spans="4:4" x14ac:dyDescent="0.35">
      <c r="D1622" s="5"/>
    </row>
    <row r="1623" spans="4:4" x14ac:dyDescent="0.35">
      <c r="D1623" s="5"/>
    </row>
    <row r="1624" spans="4:4" x14ac:dyDescent="0.35">
      <c r="D1624" s="5"/>
    </row>
    <row r="1625" spans="4:4" x14ac:dyDescent="0.35">
      <c r="D1625" s="5"/>
    </row>
    <row r="1626" spans="4:4" x14ac:dyDescent="0.35">
      <c r="D1626" s="5"/>
    </row>
    <row r="1627" spans="4:4" x14ac:dyDescent="0.35">
      <c r="D1627" s="5"/>
    </row>
    <row r="1628" spans="4:4" x14ac:dyDescent="0.35">
      <c r="D1628" s="5"/>
    </row>
    <row r="1629" spans="4:4" x14ac:dyDescent="0.35">
      <c r="D1629" s="5"/>
    </row>
    <row r="1630" spans="4:4" x14ac:dyDescent="0.35">
      <c r="D1630" s="5"/>
    </row>
    <row r="1631" spans="4:4" x14ac:dyDescent="0.35">
      <c r="D1631" s="5"/>
    </row>
    <row r="1632" spans="4:4" x14ac:dyDescent="0.35">
      <c r="D1632" s="5"/>
    </row>
    <row r="1633" spans="4:4" x14ac:dyDescent="0.35">
      <c r="D1633" s="5"/>
    </row>
    <row r="1634" spans="4:4" x14ac:dyDescent="0.35">
      <c r="D1634" s="5"/>
    </row>
    <row r="1635" spans="4:4" x14ac:dyDescent="0.35">
      <c r="D1635" s="5"/>
    </row>
    <row r="1636" spans="4:4" x14ac:dyDescent="0.35">
      <c r="D1636" s="5"/>
    </row>
    <row r="1637" spans="4:4" x14ac:dyDescent="0.35">
      <c r="D1637" s="5"/>
    </row>
    <row r="1638" spans="4:4" x14ac:dyDescent="0.35">
      <c r="D1638" s="5"/>
    </row>
    <row r="1639" spans="4:4" x14ac:dyDescent="0.35">
      <c r="D1639" s="5"/>
    </row>
    <row r="1640" spans="4:4" x14ac:dyDescent="0.35">
      <c r="D1640" s="5"/>
    </row>
    <row r="1641" spans="4:4" x14ac:dyDescent="0.35">
      <c r="D1641" s="5"/>
    </row>
    <row r="1642" spans="4:4" x14ac:dyDescent="0.35">
      <c r="D1642" s="5"/>
    </row>
    <row r="1643" spans="4:4" x14ac:dyDescent="0.35">
      <c r="D1643" s="5"/>
    </row>
    <row r="1644" spans="4:4" x14ac:dyDescent="0.35">
      <c r="D1644" s="5"/>
    </row>
    <row r="1645" spans="4:4" x14ac:dyDescent="0.35">
      <c r="D1645" s="5"/>
    </row>
    <row r="1646" spans="4:4" x14ac:dyDescent="0.35">
      <c r="D1646" s="5"/>
    </row>
    <row r="1647" spans="4:4" x14ac:dyDescent="0.35">
      <c r="D1647" s="5"/>
    </row>
    <row r="1648" spans="4:4" x14ac:dyDescent="0.35">
      <c r="D1648" s="5"/>
    </row>
    <row r="1649" spans="4:4" x14ac:dyDescent="0.35">
      <c r="D1649" s="5"/>
    </row>
    <row r="1650" spans="4:4" x14ac:dyDescent="0.35">
      <c r="D1650" s="5"/>
    </row>
    <row r="1651" spans="4:4" x14ac:dyDescent="0.35">
      <c r="D1651" s="5"/>
    </row>
    <row r="1652" spans="4:4" x14ac:dyDescent="0.35">
      <c r="D1652" s="5"/>
    </row>
    <row r="1653" spans="4:4" x14ac:dyDescent="0.35">
      <c r="D1653" s="5"/>
    </row>
    <row r="1654" spans="4:4" x14ac:dyDescent="0.35">
      <c r="D1654" s="5"/>
    </row>
    <row r="1655" spans="4:4" x14ac:dyDescent="0.35">
      <c r="D1655" s="5"/>
    </row>
    <row r="1656" spans="4:4" x14ac:dyDescent="0.35">
      <c r="D1656" s="5"/>
    </row>
    <row r="1657" spans="4:4" x14ac:dyDescent="0.35">
      <c r="D1657" s="5"/>
    </row>
    <row r="1658" spans="4:4" x14ac:dyDescent="0.35">
      <c r="D1658" s="5"/>
    </row>
    <row r="1659" spans="4:4" x14ac:dyDescent="0.35">
      <c r="D1659" s="5"/>
    </row>
    <row r="1660" spans="4:4" x14ac:dyDescent="0.35">
      <c r="D1660" s="5"/>
    </row>
    <row r="1661" spans="4:4" x14ac:dyDescent="0.35">
      <c r="D1661" s="5"/>
    </row>
    <row r="1662" spans="4:4" x14ac:dyDescent="0.35">
      <c r="D1662" s="5"/>
    </row>
    <row r="1663" spans="4:4" x14ac:dyDescent="0.35">
      <c r="D1663" s="5"/>
    </row>
    <row r="1664" spans="4:4" x14ac:dyDescent="0.35">
      <c r="D1664" s="5"/>
    </row>
    <row r="1665" spans="4:4" x14ac:dyDescent="0.35">
      <c r="D1665" s="5"/>
    </row>
    <row r="1666" spans="4:4" x14ac:dyDescent="0.35">
      <c r="D1666" s="5"/>
    </row>
    <row r="1667" spans="4:4" x14ac:dyDescent="0.35">
      <c r="D1667" s="5"/>
    </row>
    <row r="1668" spans="4:4" x14ac:dyDescent="0.35">
      <c r="D1668" s="5"/>
    </row>
    <row r="1669" spans="4:4" x14ac:dyDescent="0.35">
      <c r="D1669" s="5"/>
    </row>
    <row r="1670" spans="4:4" x14ac:dyDescent="0.35">
      <c r="D1670" s="5"/>
    </row>
    <row r="1671" spans="4:4" x14ac:dyDescent="0.35">
      <c r="D1671" s="5"/>
    </row>
    <row r="1672" spans="4:4" x14ac:dyDescent="0.35">
      <c r="D1672" s="5"/>
    </row>
    <row r="1673" spans="4:4" x14ac:dyDescent="0.35">
      <c r="D1673" s="5"/>
    </row>
    <row r="1674" spans="4:4" x14ac:dyDescent="0.35">
      <c r="D1674" s="5"/>
    </row>
    <row r="1675" spans="4:4" x14ac:dyDescent="0.35">
      <c r="D1675" s="5"/>
    </row>
    <row r="1676" spans="4:4" x14ac:dyDescent="0.35">
      <c r="D1676" s="5"/>
    </row>
    <row r="1677" spans="4:4" x14ac:dyDescent="0.35">
      <c r="D1677" s="5"/>
    </row>
    <row r="1678" spans="4:4" x14ac:dyDescent="0.35">
      <c r="D1678" s="5"/>
    </row>
    <row r="1679" spans="4:4" x14ac:dyDescent="0.35">
      <c r="D1679" s="5"/>
    </row>
    <row r="1680" spans="4:4" x14ac:dyDescent="0.35">
      <c r="D1680" s="5"/>
    </row>
    <row r="1681" spans="4:4" x14ac:dyDescent="0.35">
      <c r="D1681" s="5"/>
    </row>
    <row r="1682" spans="4:4" x14ac:dyDescent="0.35">
      <c r="D1682" s="5"/>
    </row>
    <row r="1683" spans="4:4" x14ac:dyDescent="0.35">
      <c r="D1683" s="5"/>
    </row>
    <row r="1684" spans="4:4" x14ac:dyDescent="0.35">
      <c r="D1684" s="5"/>
    </row>
    <row r="1685" spans="4:4" x14ac:dyDescent="0.35">
      <c r="D1685" s="5"/>
    </row>
    <row r="1686" spans="4:4" x14ac:dyDescent="0.35">
      <c r="D1686" s="5"/>
    </row>
    <row r="1687" spans="4:4" x14ac:dyDescent="0.35">
      <c r="D1687" s="5"/>
    </row>
    <row r="1688" spans="4:4" x14ac:dyDescent="0.35">
      <c r="D1688" s="5"/>
    </row>
    <row r="1689" spans="4:4" x14ac:dyDescent="0.35">
      <c r="D1689" s="5"/>
    </row>
    <row r="1690" spans="4:4" x14ac:dyDescent="0.35">
      <c r="D1690" s="5"/>
    </row>
    <row r="1691" spans="4:4" x14ac:dyDescent="0.35">
      <c r="D1691" s="5"/>
    </row>
    <row r="1692" spans="4:4" x14ac:dyDescent="0.35">
      <c r="D1692" s="5"/>
    </row>
    <row r="1693" spans="4:4" x14ac:dyDescent="0.35">
      <c r="D1693" s="5"/>
    </row>
    <row r="1694" spans="4:4" x14ac:dyDescent="0.35">
      <c r="D1694" s="5"/>
    </row>
    <row r="1695" spans="4:4" x14ac:dyDescent="0.35">
      <c r="D1695" s="5"/>
    </row>
    <row r="1696" spans="4:4" x14ac:dyDescent="0.35">
      <c r="D1696" s="5"/>
    </row>
    <row r="1697" spans="4:4" x14ac:dyDescent="0.35">
      <c r="D1697" s="5"/>
    </row>
    <row r="1698" spans="4:4" x14ac:dyDescent="0.35">
      <c r="D1698" s="5"/>
    </row>
    <row r="1699" spans="4:4" x14ac:dyDescent="0.35">
      <c r="D1699" s="5"/>
    </row>
    <row r="1700" spans="4:4" x14ac:dyDescent="0.35">
      <c r="D1700" s="5"/>
    </row>
    <row r="1701" spans="4:4" x14ac:dyDescent="0.35">
      <c r="D1701" s="5"/>
    </row>
    <row r="1702" spans="4:4" x14ac:dyDescent="0.35">
      <c r="D1702" s="5"/>
    </row>
    <row r="1703" spans="4:4" x14ac:dyDescent="0.35">
      <c r="D1703" s="5"/>
    </row>
    <row r="1704" spans="4:4" x14ac:dyDescent="0.35">
      <c r="D1704" s="5"/>
    </row>
    <row r="1705" spans="4:4" x14ac:dyDescent="0.35">
      <c r="D1705" s="5"/>
    </row>
    <row r="1706" spans="4:4" x14ac:dyDescent="0.35">
      <c r="D1706" s="5"/>
    </row>
    <row r="1707" spans="4:4" x14ac:dyDescent="0.35">
      <c r="D1707" s="5"/>
    </row>
    <row r="1708" spans="4:4" x14ac:dyDescent="0.35">
      <c r="D1708" s="5"/>
    </row>
    <row r="1709" spans="4:4" x14ac:dyDescent="0.35">
      <c r="D1709" s="5"/>
    </row>
    <row r="1710" spans="4:4" x14ac:dyDescent="0.35">
      <c r="D1710" s="5"/>
    </row>
    <row r="1711" spans="4:4" x14ac:dyDescent="0.35">
      <c r="D1711" s="5"/>
    </row>
    <row r="1712" spans="4:4" x14ac:dyDescent="0.35">
      <c r="D1712" s="5"/>
    </row>
    <row r="1713" spans="4:4" x14ac:dyDescent="0.35">
      <c r="D1713" s="5"/>
    </row>
    <row r="1714" spans="4:4" x14ac:dyDescent="0.35">
      <c r="D1714" s="5"/>
    </row>
    <row r="1715" spans="4:4" x14ac:dyDescent="0.35">
      <c r="D1715" s="5"/>
    </row>
    <row r="1716" spans="4:4" x14ac:dyDescent="0.35">
      <c r="D1716" s="5"/>
    </row>
    <row r="1717" spans="4:4" x14ac:dyDescent="0.35">
      <c r="D1717" s="5"/>
    </row>
    <row r="1718" spans="4:4" x14ac:dyDescent="0.35">
      <c r="D1718" s="5"/>
    </row>
    <row r="1719" spans="4:4" x14ac:dyDescent="0.35">
      <c r="D1719" s="5"/>
    </row>
    <row r="1720" spans="4:4" x14ac:dyDescent="0.35">
      <c r="D1720" s="5"/>
    </row>
    <row r="1721" spans="4:4" x14ac:dyDescent="0.35">
      <c r="D1721" s="5"/>
    </row>
    <row r="1722" spans="4:4" x14ac:dyDescent="0.35">
      <c r="D1722" s="5"/>
    </row>
    <row r="1723" spans="4:4" x14ac:dyDescent="0.35">
      <c r="D1723" s="5"/>
    </row>
    <row r="1724" spans="4:4" x14ac:dyDescent="0.35">
      <c r="D1724" s="5"/>
    </row>
    <row r="1725" spans="4:4" x14ac:dyDescent="0.35">
      <c r="D1725" s="5"/>
    </row>
    <row r="1726" spans="4:4" x14ac:dyDescent="0.35">
      <c r="D1726" s="5"/>
    </row>
    <row r="1727" spans="4:4" x14ac:dyDescent="0.35">
      <c r="D1727" s="5"/>
    </row>
    <row r="1728" spans="4:4" x14ac:dyDescent="0.35">
      <c r="D1728" s="5"/>
    </row>
    <row r="1729" spans="4:4" x14ac:dyDescent="0.35">
      <c r="D1729" s="5"/>
    </row>
    <row r="1730" spans="4:4" x14ac:dyDescent="0.35">
      <c r="D1730" s="5"/>
    </row>
    <row r="1731" spans="4:4" x14ac:dyDescent="0.35">
      <c r="D1731" s="5"/>
    </row>
    <row r="1732" spans="4:4" x14ac:dyDescent="0.35">
      <c r="D1732" s="5"/>
    </row>
    <row r="1733" spans="4:4" x14ac:dyDescent="0.35">
      <c r="D1733" s="5"/>
    </row>
    <row r="1734" spans="4:4" x14ac:dyDescent="0.35">
      <c r="D1734" s="5"/>
    </row>
    <row r="1735" spans="4:4" x14ac:dyDescent="0.35">
      <c r="D1735" s="5"/>
    </row>
    <row r="1736" spans="4:4" x14ac:dyDescent="0.35">
      <c r="D1736" s="5"/>
    </row>
    <row r="1737" spans="4:4" x14ac:dyDescent="0.35">
      <c r="D1737" s="5"/>
    </row>
    <row r="1738" spans="4:4" x14ac:dyDescent="0.35">
      <c r="D1738" s="5"/>
    </row>
    <row r="1739" spans="4:4" x14ac:dyDescent="0.35">
      <c r="D1739" s="5"/>
    </row>
    <row r="1740" spans="4:4" x14ac:dyDescent="0.35">
      <c r="D1740" s="5"/>
    </row>
    <row r="1741" spans="4:4" x14ac:dyDescent="0.35">
      <c r="D1741" s="5"/>
    </row>
    <row r="1742" spans="4:4" x14ac:dyDescent="0.35">
      <c r="D1742" s="5"/>
    </row>
    <row r="1743" spans="4:4" x14ac:dyDescent="0.35">
      <c r="D1743" s="5"/>
    </row>
    <row r="1744" spans="4:4" x14ac:dyDescent="0.35">
      <c r="D1744" s="5"/>
    </row>
    <row r="1745" spans="4:4" x14ac:dyDescent="0.35">
      <c r="D1745" s="5"/>
    </row>
    <row r="1746" spans="4:4" x14ac:dyDescent="0.35">
      <c r="D1746" s="5"/>
    </row>
    <row r="1747" spans="4:4" x14ac:dyDescent="0.35">
      <c r="D1747" s="5"/>
    </row>
    <row r="1748" spans="4:4" x14ac:dyDescent="0.35">
      <c r="D1748" s="5"/>
    </row>
    <row r="1749" spans="4:4" x14ac:dyDescent="0.35">
      <c r="D1749" s="5"/>
    </row>
    <row r="1750" spans="4:4" x14ac:dyDescent="0.35">
      <c r="D1750" s="5"/>
    </row>
    <row r="1751" spans="4:4" x14ac:dyDescent="0.35">
      <c r="D1751" s="5"/>
    </row>
    <row r="1752" spans="4:4" x14ac:dyDescent="0.35">
      <c r="D1752" s="5"/>
    </row>
    <row r="1753" spans="4:4" x14ac:dyDescent="0.35">
      <c r="D1753" s="5"/>
    </row>
    <row r="1754" spans="4:4" x14ac:dyDescent="0.35">
      <c r="D1754" s="5"/>
    </row>
    <row r="1755" spans="4:4" x14ac:dyDescent="0.35">
      <c r="D1755" s="5"/>
    </row>
    <row r="1756" spans="4:4" x14ac:dyDescent="0.35">
      <c r="D1756" s="5"/>
    </row>
    <row r="1757" spans="4:4" x14ac:dyDescent="0.35">
      <c r="D1757" s="5"/>
    </row>
    <row r="1758" spans="4:4" x14ac:dyDescent="0.35">
      <c r="D1758" s="5"/>
    </row>
    <row r="1759" spans="4:4" x14ac:dyDescent="0.35">
      <c r="D1759" s="5"/>
    </row>
    <row r="1760" spans="4:4" x14ac:dyDescent="0.35">
      <c r="D1760" s="5"/>
    </row>
    <row r="1761" spans="4:4" x14ac:dyDescent="0.35">
      <c r="D1761" s="5"/>
    </row>
    <row r="1762" spans="4:4" x14ac:dyDescent="0.35">
      <c r="D1762" s="5"/>
    </row>
    <row r="1763" spans="4:4" x14ac:dyDescent="0.35">
      <c r="D1763" s="5"/>
    </row>
    <row r="1764" spans="4:4" x14ac:dyDescent="0.35">
      <c r="D1764" s="5"/>
    </row>
    <row r="1765" spans="4:4" x14ac:dyDescent="0.35">
      <c r="D1765" s="5"/>
    </row>
    <row r="1766" spans="4:4" x14ac:dyDescent="0.35">
      <c r="D1766" s="5"/>
    </row>
    <row r="1767" spans="4:4" x14ac:dyDescent="0.35">
      <c r="D1767" s="5"/>
    </row>
    <row r="1768" spans="4:4" x14ac:dyDescent="0.35">
      <c r="D1768" s="5"/>
    </row>
    <row r="1769" spans="4:4" x14ac:dyDescent="0.35">
      <c r="D1769" s="5"/>
    </row>
    <row r="1770" spans="4:4" x14ac:dyDescent="0.35">
      <c r="D1770" s="5"/>
    </row>
    <row r="1771" spans="4:4" x14ac:dyDescent="0.35">
      <c r="D1771" s="5"/>
    </row>
    <row r="1772" spans="4:4" x14ac:dyDescent="0.35">
      <c r="D1772" s="5"/>
    </row>
    <row r="1773" spans="4:4" x14ac:dyDescent="0.35">
      <c r="D1773" s="5"/>
    </row>
    <row r="1774" spans="4:4" x14ac:dyDescent="0.35">
      <c r="D1774" s="5"/>
    </row>
    <row r="1775" spans="4:4" x14ac:dyDescent="0.35">
      <c r="D1775" s="5"/>
    </row>
    <row r="1776" spans="4:4" x14ac:dyDescent="0.35">
      <c r="D1776" s="5"/>
    </row>
    <row r="1777" spans="4:4" x14ac:dyDescent="0.35">
      <c r="D1777" s="5"/>
    </row>
    <row r="1778" spans="4:4" x14ac:dyDescent="0.35">
      <c r="D1778" s="5"/>
    </row>
    <row r="1779" spans="4:4" x14ac:dyDescent="0.35">
      <c r="D1779" s="5"/>
    </row>
    <row r="1780" spans="4:4" x14ac:dyDescent="0.35">
      <c r="D1780" s="5"/>
    </row>
    <row r="1781" spans="4:4" x14ac:dyDescent="0.35">
      <c r="D1781" s="5"/>
    </row>
    <row r="1782" spans="4:4" x14ac:dyDescent="0.35">
      <c r="D1782" s="5"/>
    </row>
    <row r="1783" spans="4:4" x14ac:dyDescent="0.35">
      <c r="D1783" s="5"/>
    </row>
    <row r="1784" spans="4:4" x14ac:dyDescent="0.35">
      <c r="D1784" s="5"/>
    </row>
    <row r="1785" spans="4:4" x14ac:dyDescent="0.35">
      <c r="D1785" s="5"/>
    </row>
    <row r="1786" spans="4:4" x14ac:dyDescent="0.35">
      <c r="D1786" s="5"/>
    </row>
    <row r="1787" spans="4:4" x14ac:dyDescent="0.35">
      <c r="D1787" s="5"/>
    </row>
    <row r="1788" spans="4:4" x14ac:dyDescent="0.35">
      <c r="D1788" s="5"/>
    </row>
    <row r="1789" spans="4:4" x14ac:dyDescent="0.35">
      <c r="D1789" s="5"/>
    </row>
    <row r="1790" spans="4:4" x14ac:dyDescent="0.35">
      <c r="D1790" s="5"/>
    </row>
    <row r="1791" spans="4:4" x14ac:dyDescent="0.35">
      <c r="D1791" s="5"/>
    </row>
    <row r="1792" spans="4:4" x14ac:dyDescent="0.35">
      <c r="D1792" s="5"/>
    </row>
    <row r="1793" spans="4:4" x14ac:dyDescent="0.35">
      <c r="D1793" s="5"/>
    </row>
    <row r="1794" spans="4:4" x14ac:dyDescent="0.35">
      <c r="D1794" s="5"/>
    </row>
    <row r="1795" spans="4:4" x14ac:dyDescent="0.35">
      <c r="D1795" s="5"/>
    </row>
    <row r="1796" spans="4:4" x14ac:dyDescent="0.35">
      <c r="D1796" s="5"/>
    </row>
    <row r="1797" spans="4:4" x14ac:dyDescent="0.35">
      <c r="D1797" s="5"/>
    </row>
    <row r="1798" spans="4:4" x14ac:dyDescent="0.35">
      <c r="D1798" s="5"/>
    </row>
    <row r="1799" spans="4:4" x14ac:dyDescent="0.35">
      <c r="D1799" s="5"/>
    </row>
    <row r="1800" spans="4:4" x14ac:dyDescent="0.35">
      <c r="D1800" s="5"/>
    </row>
    <row r="1801" spans="4:4" x14ac:dyDescent="0.35">
      <c r="D1801" s="5"/>
    </row>
    <row r="1802" spans="4:4" x14ac:dyDescent="0.35">
      <c r="D1802" s="5"/>
    </row>
    <row r="1803" spans="4:4" x14ac:dyDescent="0.35">
      <c r="D1803" s="5"/>
    </row>
    <row r="1804" spans="4:4" x14ac:dyDescent="0.35">
      <c r="D1804" s="5"/>
    </row>
    <row r="1805" spans="4:4" x14ac:dyDescent="0.35">
      <c r="D1805" s="5"/>
    </row>
    <row r="1806" spans="4:4" x14ac:dyDescent="0.35">
      <c r="D1806" s="5"/>
    </row>
    <row r="1807" spans="4:4" x14ac:dyDescent="0.35">
      <c r="D1807" s="5"/>
    </row>
    <row r="1808" spans="4:4" x14ac:dyDescent="0.35">
      <c r="D1808" s="5"/>
    </row>
    <row r="1809" spans="4:4" x14ac:dyDescent="0.35">
      <c r="D1809" s="5"/>
    </row>
    <row r="1810" spans="4:4" x14ac:dyDescent="0.35">
      <c r="D1810" s="5"/>
    </row>
    <row r="1811" spans="4:4" x14ac:dyDescent="0.35">
      <c r="D1811" s="5"/>
    </row>
    <row r="1812" spans="4:4" x14ac:dyDescent="0.35">
      <c r="D1812" s="5"/>
    </row>
    <row r="1813" spans="4:4" x14ac:dyDescent="0.35">
      <c r="D1813" s="5"/>
    </row>
    <row r="1814" spans="4:4" x14ac:dyDescent="0.35">
      <c r="D1814" s="5"/>
    </row>
    <row r="1815" spans="4:4" x14ac:dyDescent="0.35">
      <c r="D1815" s="5"/>
    </row>
    <row r="1816" spans="4:4" x14ac:dyDescent="0.35">
      <c r="D1816" s="5"/>
    </row>
    <row r="1817" spans="4:4" x14ac:dyDescent="0.35">
      <c r="D1817" s="5"/>
    </row>
    <row r="1818" spans="4:4" x14ac:dyDescent="0.35">
      <c r="D1818" s="5"/>
    </row>
    <row r="1819" spans="4:4" x14ac:dyDescent="0.35">
      <c r="D1819" s="5"/>
    </row>
    <row r="1820" spans="4:4" x14ac:dyDescent="0.35">
      <c r="D1820" s="5"/>
    </row>
    <row r="1821" spans="4:4" x14ac:dyDescent="0.35">
      <c r="D1821" s="5"/>
    </row>
    <row r="1822" spans="4:4" x14ac:dyDescent="0.35">
      <c r="D1822" s="5"/>
    </row>
    <row r="1823" spans="4:4" x14ac:dyDescent="0.35">
      <c r="D1823" s="5"/>
    </row>
    <row r="1824" spans="4:4" x14ac:dyDescent="0.35">
      <c r="D1824" s="5"/>
    </row>
    <row r="1825" spans="4:4" x14ac:dyDescent="0.35">
      <c r="D1825" s="5"/>
    </row>
    <row r="1826" spans="4:4" x14ac:dyDescent="0.35">
      <c r="D1826" s="5"/>
    </row>
    <row r="1827" spans="4:4" x14ac:dyDescent="0.35">
      <c r="D1827" s="5"/>
    </row>
    <row r="1828" spans="4:4" x14ac:dyDescent="0.35">
      <c r="D1828" s="5"/>
    </row>
    <row r="1829" spans="4:4" x14ac:dyDescent="0.35">
      <c r="D1829" s="5"/>
    </row>
    <row r="1830" spans="4:4" x14ac:dyDescent="0.35">
      <c r="D1830" s="5"/>
    </row>
    <row r="1831" spans="4:4" x14ac:dyDescent="0.35">
      <c r="D1831" s="5"/>
    </row>
    <row r="1832" spans="4:4" x14ac:dyDescent="0.35">
      <c r="D1832" s="5"/>
    </row>
    <row r="1833" spans="4:4" x14ac:dyDescent="0.35">
      <c r="D1833" s="5"/>
    </row>
    <row r="1834" spans="4:4" x14ac:dyDescent="0.35">
      <c r="D1834" s="5"/>
    </row>
    <row r="1835" spans="4:4" x14ac:dyDescent="0.35">
      <c r="D1835" s="5"/>
    </row>
    <row r="1836" spans="4:4" x14ac:dyDescent="0.35">
      <c r="D1836" s="5"/>
    </row>
    <row r="1837" spans="4:4" x14ac:dyDescent="0.35">
      <c r="D1837" s="5"/>
    </row>
    <row r="1838" spans="4:4" x14ac:dyDescent="0.35">
      <c r="D1838" s="5"/>
    </row>
    <row r="1839" spans="4:4" x14ac:dyDescent="0.35">
      <c r="D1839" s="5"/>
    </row>
    <row r="1840" spans="4:4" x14ac:dyDescent="0.35">
      <c r="D1840" s="5"/>
    </row>
    <row r="1841" spans="4:4" x14ac:dyDescent="0.35">
      <c r="D1841" s="5"/>
    </row>
    <row r="1842" spans="4:4" x14ac:dyDescent="0.35">
      <c r="D1842" s="5"/>
    </row>
    <row r="1843" spans="4:4" x14ac:dyDescent="0.35">
      <c r="D1843" s="5"/>
    </row>
    <row r="1844" spans="4:4" x14ac:dyDescent="0.35">
      <c r="D1844" s="5"/>
    </row>
    <row r="1845" spans="4:4" x14ac:dyDescent="0.35">
      <c r="D1845" s="5"/>
    </row>
    <row r="1846" spans="4:4" x14ac:dyDescent="0.35">
      <c r="D1846" s="5"/>
    </row>
    <row r="1847" spans="4:4" x14ac:dyDescent="0.35">
      <c r="D1847" s="5"/>
    </row>
    <row r="1848" spans="4:4" x14ac:dyDescent="0.35">
      <c r="D1848" s="5"/>
    </row>
    <row r="1849" spans="4:4" x14ac:dyDescent="0.35">
      <c r="D1849" s="5"/>
    </row>
    <row r="1850" spans="4:4" x14ac:dyDescent="0.35">
      <c r="D1850" s="5"/>
    </row>
    <row r="1851" spans="4:4" x14ac:dyDescent="0.35">
      <c r="D1851" s="5"/>
    </row>
    <row r="1852" spans="4:4" x14ac:dyDescent="0.35">
      <c r="D1852" s="5"/>
    </row>
    <row r="1853" spans="4:4" x14ac:dyDescent="0.35">
      <c r="D1853" s="5"/>
    </row>
    <row r="1854" spans="4:4" x14ac:dyDescent="0.35">
      <c r="D1854" s="5"/>
    </row>
    <row r="1855" spans="4:4" x14ac:dyDescent="0.35">
      <c r="D1855" s="5"/>
    </row>
    <row r="1856" spans="4:4" x14ac:dyDescent="0.35">
      <c r="D1856" s="5"/>
    </row>
    <row r="1857" spans="4:4" x14ac:dyDescent="0.35">
      <c r="D1857" s="5"/>
    </row>
    <row r="1858" spans="4:4" x14ac:dyDescent="0.35">
      <c r="D1858" s="5"/>
    </row>
    <row r="1859" spans="4:4" x14ac:dyDescent="0.35">
      <c r="D1859" s="5"/>
    </row>
    <row r="1860" spans="4:4" x14ac:dyDescent="0.35">
      <c r="D1860" s="5"/>
    </row>
    <row r="1861" spans="4:4" x14ac:dyDescent="0.35">
      <c r="D1861" s="5"/>
    </row>
    <row r="1862" spans="4:4" x14ac:dyDescent="0.35">
      <c r="D1862" s="5"/>
    </row>
    <row r="1863" spans="4:4" x14ac:dyDescent="0.35">
      <c r="D1863" s="5"/>
    </row>
    <row r="1864" spans="4:4" x14ac:dyDescent="0.35">
      <c r="D1864" s="5"/>
    </row>
    <row r="1865" spans="4:4" x14ac:dyDescent="0.35">
      <c r="D1865" s="5"/>
    </row>
    <row r="1866" spans="4:4" x14ac:dyDescent="0.35">
      <c r="D1866" s="5"/>
    </row>
    <row r="1867" spans="4:4" x14ac:dyDescent="0.35">
      <c r="D1867" s="5"/>
    </row>
    <row r="1868" spans="4:4" x14ac:dyDescent="0.35">
      <c r="D1868" s="5"/>
    </row>
    <row r="1869" spans="4:4" x14ac:dyDescent="0.35">
      <c r="D1869" s="5"/>
    </row>
    <row r="1870" spans="4:4" x14ac:dyDescent="0.35">
      <c r="D1870" s="5"/>
    </row>
    <row r="1871" spans="4:4" x14ac:dyDescent="0.35">
      <c r="D1871" s="5"/>
    </row>
    <row r="1872" spans="4:4" x14ac:dyDescent="0.35">
      <c r="D1872" s="5"/>
    </row>
    <row r="1873" spans="4:4" x14ac:dyDescent="0.35">
      <c r="D1873" s="5"/>
    </row>
    <row r="1874" spans="4:4" x14ac:dyDescent="0.35">
      <c r="D1874" s="5"/>
    </row>
    <row r="1875" spans="4:4" x14ac:dyDescent="0.35">
      <c r="D1875" s="5"/>
    </row>
    <row r="1876" spans="4:4" x14ac:dyDescent="0.35">
      <c r="D1876" s="5"/>
    </row>
    <row r="1877" spans="4:4" x14ac:dyDescent="0.35">
      <c r="D1877" s="5"/>
    </row>
    <row r="1878" spans="4:4" x14ac:dyDescent="0.35">
      <c r="D1878" s="5"/>
    </row>
    <row r="1879" spans="4:4" x14ac:dyDescent="0.35">
      <c r="D1879" s="5"/>
    </row>
    <row r="1880" spans="4:4" x14ac:dyDescent="0.35">
      <c r="D1880" s="5"/>
    </row>
    <row r="1881" spans="4:4" x14ac:dyDescent="0.35">
      <c r="D1881" s="5"/>
    </row>
    <row r="1882" spans="4:4" x14ac:dyDescent="0.35">
      <c r="D1882" s="5"/>
    </row>
    <row r="1883" spans="4:4" x14ac:dyDescent="0.35">
      <c r="D1883" s="5"/>
    </row>
    <row r="1884" spans="4:4" x14ac:dyDescent="0.35">
      <c r="D1884" s="5"/>
    </row>
    <row r="1885" spans="4:4" x14ac:dyDescent="0.35">
      <c r="D1885" s="5"/>
    </row>
    <row r="1886" spans="4:4" x14ac:dyDescent="0.35">
      <c r="D1886" s="5"/>
    </row>
    <row r="1887" spans="4:4" x14ac:dyDescent="0.35">
      <c r="D1887" s="5"/>
    </row>
    <row r="1888" spans="4:4" x14ac:dyDescent="0.35">
      <c r="D1888" s="5"/>
    </row>
    <row r="1889" spans="4:4" x14ac:dyDescent="0.35">
      <c r="D1889" s="5"/>
    </row>
    <row r="1890" spans="4:4" x14ac:dyDescent="0.35">
      <c r="D1890" s="5"/>
    </row>
    <row r="1891" spans="4:4" x14ac:dyDescent="0.35">
      <c r="D1891" s="5"/>
    </row>
    <row r="1892" spans="4:4" x14ac:dyDescent="0.35">
      <c r="D1892" s="5"/>
    </row>
    <row r="1893" spans="4:4" x14ac:dyDescent="0.35">
      <c r="D1893" s="5"/>
    </row>
    <row r="1894" spans="4:4" x14ac:dyDescent="0.35">
      <c r="D1894" s="5"/>
    </row>
    <row r="1895" spans="4:4" x14ac:dyDescent="0.35">
      <c r="D1895" s="5"/>
    </row>
    <row r="1896" spans="4:4" x14ac:dyDescent="0.35">
      <c r="D1896" s="5"/>
    </row>
    <row r="1897" spans="4:4" x14ac:dyDescent="0.35">
      <c r="D1897" s="5"/>
    </row>
    <row r="1898" spans="4:4" x14ac:dyDescent="0.35">
      <c r="D1898" s="5"/>
    </row>
    <row r="1899" spans="4:4" x14ac:dyDescent="0.35">
      <c r="D1899" s="5"/>
    </row>
    <row r="1900" spans="4:4" x14ac:dyDescent="0.35">
      <c r="D1900" s="5"/>
    </row>
    <row r="1901" spans="4:4" x14ac:dyDescent="0.35">
      <c r="D1901" s="5"/>
    </row>
    <row r="1902" spans="4:4" x14ac:dyDescent="0.35">
      <c r="D1902" s="5"/>
    </row>
    <row r="1903" spans="4:4" x14ac:dyDescent="0.35">
      <c r="D1903" s="5"/>
    </row>
    <row r="1904" spans="4:4" x14ac:dyDescent="0.35">
      <c r="D1904" s="5"/>
    </row>
    <row r="1905" spans="4:4" x14ac:dyDescent="0.35">
      <c r="D1905" s="5"/>
    </row>
    <row r="1906" spans="4:4" x14ac:dyDescent="0.35">
      <c r="D1906" s="5"/>
    </row>
    <row r="1907" spans="4:4" x14ac:dyDescent="0.35">
      <c r="D1907" s="5"/>
    </row>
    <row r="1908" spans="4:4" x14ac:dyDescent="0.35">
      <c r="D1908" s="5"/>
    </row>
    <row r="1909" spans="4:4" x14ac:dyDescent="0.35">
      <c r="D1909" s="5"/>
    </row>
    <row r="1910" spans="4:4" x14ac:dyDescent="0.35">
      <c r="D1910" s="5"/>
    </row>
    <row r="1911" spans="4:4" x14ac:dyDescent="0.35">
      <c r="D1911" s="5"/>
    </row>
    <row r="1912" spans="4:4" x14ac:dyDescent="0.35">
      <c r="D1912" s="5"/>
    </row>
    <row r="1913" spans="4:4" x14ac:dyDescent="0.35">
      <c r="D1913" s="5"/>
    </row>
    <row r="1914" spans="4:4" x14ac:dyDescent="0.35">
      <c r="D1914" s="5"/>
    </row>
    <row r="1915" spans="4:4" x14ac:dyDescent="0.35">
      <c r="D1915" s="5"/>
    </row>
    <row r="1916" spans="4:4" x14ac:dyDescent="0.35">
      <c r="D1916" s="5"/>
    </row>
    <row r="1917" spans="4:4" x14ac:dyDescent="0.35">
      <c r="D1917" s="5"/>
    </row>
    <row r="1918" spans="4:4" x14ac:dyDescent="0.35">
      <c r="D1918" s="5"/>
    </row>
    <row r="1919" spans="4:4" x14ac:dyDescent="0.35">
      <c r="D1919" s="5"/>
    </row>
    <row r="1920" spans="4:4" x14ac:dyDescent="0.35">
      <c r="D1920" s="5"/>
    </row>
    <row r="1921" spans="4:4" x14ac:dyDescent="0.35">
      <c r="D1921" s="5"/>
    </row>
    <row r="1922" spans="4:4" x14ac:dyDescent="0.35">
      <c r="D1922" s="5"/>
    </row>
    <row r="1923" spans="4:4" x14ac:dyDescent="0.35">
      <c r="D1923" s="5"/>
    </row>
    <row r="1924" spans="4:4" x14ac:dyDescent="0.35">
      <c r="D1924" s="5"/>
    </row>
    <row r="1925" spans="4:4" x14ac:dyDescent="0.35">
      <c r="D1925" s="5"/>
    </row>
    <row r="1926" spans="4:4" x14ac:dyDescent="0.35">
      <c r="D1926" s="5"/>
    </row>
    <row r="1927" spans="4:4" x14ac:dyDescent="0.35">
      <c r="D1927" s="5"/>
    </row>
    <row r="1928" spans="4:4" x14ac:dyDescent="0.35">
      <c r="D1928" s="5"/>
    </row>
    <row r="1929" spans="4:4" x14ac:dyDescent="0.35">
      <c r="D1929" s="5"/>
    </row>
    <row r="1930" spans="4:4" x14ac:dyDescent="0.35">
      <c r="D1930" s="5"/>
    </row>
    <row r="1931" spans="4:4" x14ac:dyDescent="0.35">
      <c r="D1931" s="5"/>
    </row>
    <row r="1932" spans="4:4" x14ac:dyDescent="0.35">
      <c r="D1932" s="5"/>
    </row>
    <row r="1933" spans="4:4" x14ac:dyDescent="0.35">
      <c r="D1933" s="5"/>
    </row>
    <row r="1934" spans="4:4" x14ac:dyDescent="0.35">
      <c r="D1934" s="5"/>
    </row>
    <row r="1935" spans="4:4" x14ac:dyDescent="0.35">
      <c r="D1935" s="5"/>
    </row>
    <row r="1936" spans="4:4" x14ac:dyDescent="0.35">
      <c r="D1936" s="5"/>
    </row>
    <row r="1937" spans="4:4" x14ac:dyDescent="0.35">
      <c r="D1937" s="5"/>
    </row>
    <row r="1938" spans="4:4" x14ac:dyDescent="0.35">
      <c r="D1938" s="5"/>
    </row>
    <row r="1939" spans="4:4" x14ac:dyDescent="0.35">
      <c r="D1939" s="5"/>
    </row>
    <row r="1940" spans="4:4" x14ac:dyDescent="0.35">
      <c r="D1940" s="5"/>
    </row>
    <row r="1941" spans="4:4" x14ac:dyDescent="0.35">
      <c r="D1941" s="5"/>
    </row>
    <row r="1942" spans="4:4" x14ac:dyDescent="0.35">
      <c r="D1942" s="5"/>
    </row>
    <row r="1943" spans="4:4" x14ac:dyDescent="0.35">
      <c r="D1943" s="5"/>
    </row>
    <row r="1944" spans="4:4" x14ac:dyDescent="0.35">
      <c r="D1944" s="5"/>
    </row>
    <row r="1945" spans="4:4" x14ac:dyDescent="0.35">
      <c r="D1945" s="5"/>
    </row>
    <row r="1946" spans="4:4" x14ac:dyDescent="0.35">
      <c r="D1946" s="5"/>
    </row>
    <row r="1947" spans="4:4" x14ac:dyDescent="0.35">
      <c r="D1947" s="5"/>
    </row>
    <row r="1948" spans="4:4" x14ac:dyDescent="0.35">
      <c r="D1948" s="5"/>
    </row>
    <row r="1949" spans="4:4" x14ac:dyDescent="0.35">
      <c r="D1949" s="5"/>
    </row>
    <row r="1950" spans="4:4" x14ac:dyDescent="0.35">
      <c r="D1950" s="5"/>
    </row>
    <row r="1951" spans="4:4" x14ac:dyDescent="0.35">
      <c r="D1951" s="5"/>
    </row>
    <row r="1952" spans="4:4" x14ac:dyDescent="0.35">
      <c r="D1952" s="5"/>
    </row>
    <row r="1953" spans="4:4" x14ac:dyDescent="0.35">
      <c r="D1953" s="5"/>
    </row>
    <row r="1954" spans="4:4" x14ac:dyDescent="0.35">
      <c r="D1954" s="5"/>
    </row>
    <row r="1955" spans="4:4" x14ac:dyDescent="0.35">
      <c r="D1955" s="5"/>
    </row>
    <row r="1956" spans="4:4" x14ac:dyDescent="0.35">
      <c r="D1956" s="5"/>
    </row>
    <row r="1957" spans="4:4" x14ac:dyDescent="0.35">
      <c r="D1957" s="5"/>
    </row>
    <row r="1958" spans="4:4" x14ac:dyDescent="0.35">
      <c r="D1958" s="5"/>
    </row>
    <row r="1959" spans="4:4" x14ac:dyDescent="0.35">
      <c r="D1959" s="5"/>
    </row>
    <row r="1960" spans="4:4" x14ac:dyDescent="0.35">
      <c r="D1960" s="5"/>
    </row>
    <row r="1961" spans="4:4" x14ac:dyDescent="0.35">
      <c r="D1961" s="5"/>
    </row>
    <row r="1962" spans="4:4" x14ac:dyDescent="0.35">
      <c r="D1962" s="5"/>
    </row>
    <row r="1963" spans="4:4" x14ac:dyDescent="0.35">
      <c r="D1963" s="5"/>
    </row>
    <row r="1964" spans="4:4" x14ac:dyDescent="0.35">
      <c r="D1964" s="5"/>
    </row>
    <row r="1965" spans="4:4" x14ac:dyDescent="0.35">
      <c r="D1965" s="5"/>
    </row>
    <row r="1966" spans="4:4" x14ac:dyDescent="0.35">
      <c r="D1966" s="5"/>
    </row>
    <row r="1967" spans="4:4" x14ac:dyDescent="0.35">
      <c r="D1967" s="5"/>
    </row>
    <row r="1968" spans="4:4" x14ac:dyDescent="0.35">
      <c r="D1968" s="5"/>
    </row>
    <row r="1969" spans="4:4" x14ac:dyDescent="0.35">
      <c r="D1969" s="5"/>
    </row>
    <row r="1970" spans="4:4" x14ac:dyDescent="0.35">
      <c r="D1970" s="5"/>
    </row>
    <row r="1971" spans="4:4" x14ac:dyDescent="0.35">
      <c r="D1971" s="5"/>
    </row>
    <row r="1972" spans="4:4" x14ac:dyDescent="0.35">
      <c r="D1972" s="5"/>
    </row>
    <row r="1973" spans="4:4" x14ac:dyDescent="0.35">
      <c r="D1973" s="5"/>
    </row>
    <row r="1974" spans="4:4" x14ac:dyDescent="0.35">
      <c r="D1974" s="5"/>
    </row>
    <row r="1975" spans="4:4" x14ac:dyDescent="0.35">
      <c r="D1975" s="5"/>
    </row>
    <row r="1976" spans="4:4" x14ac:dyDescent="0.35">
      <c r="D1976" s="5"/>
    </row>
    <row r="1977" spans="4:4" x14ac:dyDescent="0.35">
      <c r="D1977" s="5"/>
    </row>
    <row r="1978" spans="4:4" x14ac:dyDescent="0.35">
      <c r="D1978" s="5"/>
    </row>
    <row r="1979" spans="4:4" x14ac:dyDescent="0.35">
      <c r="D1979" s="5"/>
    </row>
    <row r="1980" spans="4:4" x14ac:dyDescent="0.35">
      <c r="D1980" s="5"/>
    </row>
    <row r="1981" spans="4:4" x14ac:dyDescent="0.35">
      <c r="D1981" s="5"/>
    </row>
    <row r="1982" spans="4:4" x14ac:dyDescent="0.35">
      <c r="D1982" s="5"/>
    </row>
    <row r="1983" spans="4:4" x14ac:dyDescent="0.35">
      <c r="D1983" s="5"/>
    </row>
    <row r="1984" spans="4:4" x14ac:dyDescent="0.35">
      <c r="D1984" s="5"/>
    </row>
    <row r="1985" spans="4:4" x14ac:dyDescent="0.35">
      <c r="D1985" s="5"/>
    </row>
    <row r="1986" spans="4:4" x14ac:dyDescent="0.35">
      <c r="D1986" s="5"/>
    </row>
    <row r="1987" spans="4:4" x14ac:dyDescent="0.35">
      <c r="D1987" s="5"/>
    </row>
    <row r="1988" spans="4:4" x14ac:dyDescent="0.35">
      <c r="D1988" s="5"/>
    </row>
    <row r="1989" spans="4:4" x14ac:dyDescent="0.35">
      <c r="D1989" s="5"/>
    </row>
    <row r="1990" spans="4:4" x14ac:dyDescent="0.35">
      <c r="D1990" s="5"/>
    </row>
    <row r="1991" spans="4:4" x14ac:dyDescent="0.35">
      <c r="D1991" s="5"/>
    </row>
    <row r="1992" spans="4:4" x14ac:dyDescent="0.35">
      <c r="D1992" s="5"/>
    </row>
    <row r="1993" spans="4:4" x14ac:dyDescent="0.35">
      <c r="D1993" s="5"/>
    </row>
    <row r="1994" spans="4:4" x14ac:dyDescent="0.35">
      <c r="D1994" s="5"/>
    </row>
    <row r="1995" spans="4:4" x14ac:dyDescent="0.35">
      <c r="D1995" s="5"/>
    </row>
    <row r="1996" spans="4:4" x14ac:dyDescent="0.35">
      <c r="D1996" s="5"/>
    </row>
    <row r="1997" spans="4:4" x14ac:dyDescent="0.35">
      <c r="D1997" s="5"/>
    </row>
    <row r="1998" spans="4:4" x14ac:dyDescent="0.35">
      <c r="D1998" s="5"/>
    </row>
    <row r="1999" spans="4:4" x14ac:dyDescent="0.35">
      <c r="D1999" s="5"/>
    </row>
    <row r="2000" spans="4:4" x14ac:dyDescent="0.35">
      <c r="D2000" s="5"/>
    </row>
    <row r="2001" spans="4:4" x14ac:dyDescent="0.35">
      <c r="D2001" s="5"/>
    </row>
    <row r="2002" spans="4:4" x14ac:dyDescent="0.35">
      <c r="D2002" s="5"/>
    </row>
    <row r="2003" spans="4:4" x14ac:dyDescent="0.35">
      <c r="D2003" s="5"/>
    </row>
    <row r="2004" spans="4:4" x14ac:dyDescent="0.35">
      <c r="D2004" s="5"/>
    </row>
    <row r="2005" spans="4:4" x14ac:dyDescent="0.35">
      <c r="D2005" s="5"/>
    </row>
    <row r="2006" spans="4:4" x14ac:dyDescent="0.35">
      <c r="D2006" s="5"/>
    </row>
    <row r="2007" spans="4:4" x14ac:dyDescent="0.35">
      <c r="D2007" s="5"/>
    </row>
    <row r="2008" spans="4:4" x14ac:dyDescent="0.35">
      <c r="D2008" s="5"/>
    </row>
    <row r="2009" spans="4:4" x14ac:dyDescent="0.35">
      <c r="D2009" s="5"/>
    </row>
    <row r="2010" spans="4:4" x14ac:dyDescent="0.35">
      <c r="D2010" s="5"/>
    </row>
    <row r="2011" spans="4:4" x14ac:dyDescent="0.35">
      <c r="D2011" s="5"/>
    </row>
  </sheetData>
  <mergeCells count="4">
    <mergeCell ref="B3:F6"/>
    <mergeCell ref="B9:F10"/>
    <mergeCell ref="H9:L10"/>
    <mergeCell ref="M9:N10"/>
  </mergeCells>
  <conditionalFormatting sqref="C13:C613">
    <cfRule type="iconSet" priority="1">
      <iconSet iconSet="3Arrows">
        <cfvo type="percent" val="0"/>
        <cfvo type="percent" val="33"/>
        <cfvo type="percent" val="67"/>
      </iconSet>
    </cfRule>
  </conditionalFormatting>
  <conditionalFormatting sqref="D13:D61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69F35-C0CD-49FB-BD0D-1478B4AA6349}">
  <sheetPr>
    <tabColor rgb="FFF29F58"/>
  </sheetPr>
  <dimension ref="B3:H34"/>
  <sheetViews>
    <sheetView showGridLines="0" topLeftCell="A15" workbookViewId="0">
      <selection activeCell="J7" sqref="J7"/>
    </sheetView>
  </sheetViews>
  <sheetFormatPr defaultRowHeight="14.5" x14ac:dyDescent="0.35"/>
  <cols>
    <col min="2" max="2" width="17.36328125" bestFit="1" customWidth="1"/>
    <col min="3" max="3" width="12.453125" bestFit="1" customWidth="1"/>
  </cols>
  <sheetData>
    <row r="3" spans="2:8" x14ac:dyDescent="0.35">
      <c r="B3" s="115" t="s">
        <v>3748</v>
      </c>
      <c r="C3" s="115"/>
      <c r="D3" s="115"/>
      <c r="E3" s="115"/>
      <c r="F3" s="115"/>
      <c r="G3" s="115"/>
    </row>
    <row r="4" spans="2:8" ht="14.5" customHeight="1" x14ac:dyDescent="0.35">
      <c r="B4" s="115"/>
      <c r="C4" s="115"/>
      <c r="D4" s="115"/>
      <c r="E4" s="115"/>
      <c r="F4" s="115"/>
      <c r="G4" s="115"/>
    </row>
    <row r="5" spans="2:8" ht="14.5" customHeight="1" x14ac:dyDescent="0.35">
      <c r="B5" s="115"/>
      <c r="C5" s="115"/>
      <c r="D5" s="115"/>
      <c r="E5" s="115"/>
      <c r="F5" s="115"/>
      <c r="G5" s="115"/>
    </row>
    <row r="6" spans="2:8" ht="14.5" customHeight="1" x14ac:dyDescent="0.35">
      <c r="B6" s="115"/>
      <c r="C6" s="115"/>
      <c r="D6" s="115"/>
      <c r="E6" s="115"/>
      <c r="F6" s="115"/>
      <c r="G6" s="115"/>
    </row>
    <row r="7" spans="2:8" ht="14.5" customHeight="1" x14ac:dyDescent="0.35"/>
    <row r="9" spans="2:8" x14ac:dyDescent="0.35">
      <c r="B9" s="116" t="s">
        <v>3749</v>
      </c>
      <c r="C9" s="116"/>
      <c r="D9" s="116"/>
      <c r="E9" s="116"/>
      <c r="F9" s="116"/>
      <c r="G9" s="116"/>
      <c r="H9" s="116"/>
    </row>
    <row r="10" spans="2:8" x14ac:dyDescent="0.35">
      <c r="B10" s="116"/>
      <c r="C10" s="116"/>
      <c r="D10" s="116"/>
      <c r="E10" s="116"/>
      <c r="F10" s="116"/>
      <c r="G10" s="116"/>
      <c r="H10" s="116"/>
    </row>
    <row r="12" spans="2:8" ht="16.5" x14ac:dyDescent="0.45">
      <c r="B12" s="56" t="s">
        <v>3750</v>
      </c>
      <c r="C12" s="56" t="s">
        <v>3600</v>
      </c>
    </row>
    <row r="13" spans="2:8" x14ac:dyDescent="0.35">
      <c r="B13" t="str" cm="1">
        <f t="array" ref="B13:B15">_xlfn.UNIQUE(fin_table[Transaction Status])</f>
        <v>Failed</v>
      </c>
      <c r="C13">
        <f>COUNTIF(fin_table[],B13)</f>
        <v>343</v>
      </c>
    </row>
    <row r="14" spans="2:8" x14ac:dyDescent="0.35">
      <c r="B14" t="str">
        <v>Completed</v>
      </c>
      <c r="C14">
        <f>COUNTIF(fin_table[],B14)</f>
        <v>348</v>
      </c>
    </row>
    <row r="15" spans="2:8" x14ac:dyDescent="0.35">
      <c r="B15" t="str">
        <v>Pending</v>
      </c>
      <c r="C15">
        <f>COUNTIF(fin_table[],B15)</f>
        <v>309</v>
      </c>
    </row>
    <row r="28" spans="2:8" x14ac:dyDescent="0.35">
      <c r="B28" s="117" t="s">
        <v>3752</v>
      </c>
      <c r="C28" s="117"/>
      <c r="D28" s="117"/>
      <c r="E28" s="117"/>
      <c r="F28" s="117"/>
      <c r="G28" s="117"/>
      <c r="H28" s="117"/>
    </row>
    <row r="29" spans="2:8" x14ac:dyDescent="0.35">
      <c r="B29" s="117"/>
      <c r="C29" s="117"/>
      <c r="D29" s="117"/>
      <c r="E29" s="117"/>
      <c r="F29" s="117"/>
      <c r="G29" s="117"/>
      <c r="H29" s="117"/>
    </row>
    <row r="31" spans="2:8" ht="16.5" x14ac:dyDescent="0.45">
      <c r="B31" s="56" t="s">
        <v>10</v>
      </c>
      <c r="C31" s="56" t="s">
        <v>3751</v>
      </c>
    </row>
    <row r="32" spans="2:8" x14ac:dyDescent="0.35">
      <c r="B32" t="str" cm="1">
        <f t="array" ref="B32:B34">_xlfn.UNIQUE(fin_table[Account Type])</f>
        <v>Checking</v>
      </c>
      <c r="C32">
        <f>COUNTIFS(fin_table[Account Type],B32, fin_table[Transaction Status], "Completed")</f>
        <v>117</v>
      </c>
    </row>
    <row r="33" spans="2:3" x14ac:dyDescent="0.35">
      <c r="B33" t="str">
        <v>Credit</v>
      </c>
      <c r="C33">
        <f>COUNTIFS(fin_table[Account Type],B33, fin_table[Transaction Status], "Completed")</f>
        <v>125</v>
      </c>
    </row>
    <row r="34" spans="2:3" x14ac:dyDescent="0.35">
      <c r="B34" t="str">
        <v>Savings</v>
      </c>
      <c r="C34">
        <f>COUNTIFS(fin_table[Account Type],B34, fin_table[Transaction Status], "Completed")</f>
        <v>106</v>
      </c>
    </row>
  </sheetData>
  <mergeCells count="3">
    <mergeCell ref="B3:G6"/>
    <mergeCell ref="B9:H10"/>
    <mergeCell ref="B28:H2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565D8-80F8-4AC1-88E7-C8691C5E4A30}">
  <sheetPr>
    <tabColor rgb="FF4B5945"/>
  </sheetPr>
  <dimension ref="B3:U67"/>
  <sheetViews>
    <sheetView showGridLines="0" workbookViewId="0">
      <selection activeCell="P14" sqref="P14"/>
    </sheetView>
  </sheetViews>
  <sheetFormatPr defaultRowHeight="14.5" x14ac:dyDescent="0.35"/>
  <cols>
    <col min="2" max="2" width="6.26953125" bestFit="1" customWidth="1"/>
    <col min="3" max="3" width="10.6328125" bestFit="1" customWidth="1"/>
    <col min="15" max="15" width="9.08984375" bestFit="1" customWidth="1"/>
  </cols>
  <sheetData>
    <row r="3" spans="2:21" ht="14.5" customHeight="1" x14ac:dyDescent="0.35">
      <c r="B3" s="118" t="s">
        <v>3753</v>
      </c>
      <c r="C3" s="118"/>
      <c r="D3" s="118"/>
      <c r="E3" s="118"/>
      <c r="F3" s="118"/>
      <c r="G3" s="118"/>
      <c r="H3" s="118"/>
    </row>
    <row r="4" spans="2:21" ht="14.5" customHeight="1" x14ac:dyDescent="0.35">
      <c r="B4" s="118"/>
      <c r="C4" s="118"/>
      <c r="D4" s="118"/>
      <c r="E4" s="118"/>
      <c r="F4" s="118"/>
      <c r="G4" s="118"/>
      <c r="H4" s="118"/>
    </row>
    <row r="5" spans="2:21" ht="14.5" customHeight="1" x14ac:dyDescent="0.35">
      <c r="B5" s="118"/>
      <c r="C5" s="118"/>
      <c r="D5" s="118"/>
      <c r="E5" s="118"/>
      <c r="F5" s="118"/>
      <c r="G5" s="118"/>
      <c r="H5" s="118"/>
    </row>
    <row r="6" spans="2:21" ht="14.5" customHeight="1" x14ac:dyDescent="0.35">
      <c r="B6" s="118"/>
      <c r="C6" s="118"/>
      <c r="D6" s="118"/>
      <c r="E6" s="118"/>
      <c r="F6" s="118"/>
      <c r="G6" s="118"/>
      <c r="H6" s="118"/>
    </row>
    <row r="9" spans="2:21" ht="28" customHeight="1" x14ac:dyDescent="0.45">
      <c r="B9" s="119" t="s">
        <v>3754</v>
      </c>
      <c r="C9" s="119"/>
      <c r="D9" s="119"/>
      <c r="E9" s="119"/>
      <c r="F9" s="119"/>
      <c r="G9" s="119"/>
      <c r="H9" s="119"/>
      <c r="I9" s="119"/>
      <c r="J9" s="119"/>
      <c r="O9" s="116" t="s">
        <v>3756</v>
      </c>
      <c r="P9" s="117"/>
      <c r="Q9" s="117"/>
      <c r="R9" s="117"/>
      <c r="S9" s="117"/>
      <c r="T9" s="117"/>
      <c r="U9" s="117"/>
    </row>
    <row r="10" spans="2:21" x14ac:dyDescent="0.35">
      <c r="B10" s="119"/>
      <c r="C10" s="119"/>
      <c r="D10" s="119"/>
      <c r="E10" s="119"/>
      <c r="F10" s="119"/>
      <c r="G10" s="119"/>
      <c r="H10" s="119"/>
      <c r="I10" s="119"/>
      <c r="J10" s="119"/>
    </row>
    <row r="11" spans="2:21" ht="16" x14ac:dyDescent="0.45">
      <c r="O11" s="57" t="s">
        <v>3757</v>
      </c>
      <c r="P11" s="57" t="s">
        <v>3599</v>
      </c>
    </row>
    <row r="12" spans="2:21" x14ac:dyDescent="0.35">
      <c r="B12" s="27" t="s">
        <v>3658</v>
      </c>
      <c r="C12" t="s">
        <v>3755</v>
      </c>
      <c r="O12" t="str" cm="1">
        <f t="array" ref="O12:O14">_xlfn.UNIQUE(fin_table[Account Type])</f>
        <v>Checking</v>
      </c>
      <c r="P12">
        <f>COUNTIFS(fin_table[Account Type],O12,fin_table[ [ Account Status] ],"Active")</f>
        <v>135</v>
      </c>
    </row>
    <row r="13" spans="2:21" x14ac:dyDescent="0.35">
      <c r="B13" s="13" t="s">
        <v>3670</v>
      </c>
      <c r="C13">
        <v>30</v>
      </c>
      <c r="O13" t="str">
        <v>Credit</v>
      </c>
      <c r="P13">
        <f>COUNTIFS(fin_table[Account Type],O13,fin_table[ [ Account Status] ],"Active")</f>
        <v>125</v>
      </c>
    </row>
    <row r="14" spans="2:21" x14ac:dyDescent="0.35">
      <c r="B14" s="13" t="s">
        <v>3671</v>
      </c>
      <c r="C14">
        <v>29</v>
      </c>
      <c r="O14" t="str">
        <v>Savings</v>
      </c>
      <c r="P14">
        <f>COUNTIFS(fin_table[Account Type],O14,fin_table[ [ Account Status] ],"Active")</f>
        <v>118</v>
      </c>
    </row>
    <row r="15" spans="2:21" x14ac:dyDescent="0.35">
      <c r="B15" s="13" t="s">
        <v>3672</v>
      </c>
      <c r="C15">
        <v>27</v>
      </c>
    </row>
    <row r="16" spans="2:21" x14ac:dyDescent="0.35">
      <c r="B16" s="13" t="s">
        <v>3673</v>
      </c>
      <c r="C16">
        <v>24</v>
      </c>
    </row>
    <row r="17" spans="2:3" x14ac:dyDescent="0.35">
      <c r="B17" s="13" t="s">
        <v>3674</v>
      </c>
      <c r="C17">
        <v>40</v>
      </c>
    </row>
    <row r="18" spans="2:3" x14ac:dyDescent="0.35">
      <c r="B18" s="13" t="s">
        <v>3675</v>
      </c>
      <c r="C18">
        <v>40</v>
      </c>
    </row>
    <row r="19" spans="2:3" x14ac:dyDescent="0.35">
      <c r="B19" s="13" t="s">
        <v>3676</v>
      </c>
      <c r="C19">
        <v>42</v>
      </c>
    </row>
    <row r="20" spans="2:3" x14ac:dyDescent="0.35">
      <c r="B20" s="13" t="s">
        <v>3677</v>
      </c>
      <c r="C20">
        <v>38</v>
      </c>
    </row>
    <row r="21" spans="2:3" x14ac:dyDescent="0.35">
      <c r="B21" s="13" t="s">
        <v>3678</v>
      </c>
      <c r="C21">
        <v>41</v>
      </c>
    </row>
    <row r="22" spans="2:3" x14ac:dyDescent="0.35">
      <c r="B22" s="13" t="s">
        <v>3679</v>
      </c>
      <c r="C22">
        <v>38</v>
      </c>
    </row>
    <row r="23" spans="2:3" x14ac:dyDescent="0.35">
      <c r="B23" s="13" t="s">
        <v>3680</v>
      </c>
      <c r="C23">
        <v>35</v>
      </c>
    </row>
    <row r="24" spans="2:3" x14ac:dyDescent="0.35">
      <c r="B24" s="13" t="s">
        <v>3681</v>
      </c>
      <c r="C24">
        <v>31</v>
      </c>
    </row>
    <row r="25" spans="2:3" x14ac:dyDescent="0.35">
      <c r="B25" s="13" t="s">
        <v>3682</v>
      </c>
      <c r="C25">
        <v>28</v>
      </c>
    </row>
    <row r="26" spans="2:3" x14ac:dyDescent="0.35">
      <c r="B26" s="13" t="s">
        <v>3683</v>
      </c>
      <c r="C26">
        <v>22</v>
      </c>
    </row>
    <row r="27" spans="2:3" x14ac:dyDescent="0.35">
      <c r="B27" s="13" t="s">
        <v>3684</v>
      </c>
      <c r="C27">
        <v>36</v>
      </c>
    </row>
    <row r="28" spans="2:3" x14ac:dyDescent="0.35">
      <c r="B28" s="13" t="s">
        <v>3685</v>
      </c>
      <c r="C28">
        <v>29</v>
      </c>
    </row>
    <row r="29" spans="2:3" x14ac:dyDescent="0.35">
      <c r="B29" s="13" t="s">
        <v>3686</v>
      </c>
      <c r="C29">
        <v>34</v>
      </c>
    </row>
    <row r="30" spans="2:3" x14ac:dyDescent="0.35">
      <c r="B30" s="13" t="s">
        <v>3687</v>
      </c>
      <c r="C30">
        <v>29</v>
      </c>
    </row>
    <row r="31" spans="2:3" x14ac:dyDescent="0.35">
      <c r="B31" s="13" t="s">
        <v>3688</v>
      </c>
      <c r="C31">
        <v>40</v>
      </c>
    </row>
    <row r="32" spans="2:3" x14ac:dyDescent="0.35">
      <c r="B32" s="13" t="s">
        <v>3689</v>
      </c>
      <c r="C32">
        <v>36</v>
      </c>
    </row>
    <row r="33" spans="2:3" x14ac:dyDescent="0.35">
      <c r="B33" s="13" t="s">
        <v>3690</v>
      </c>
      <c r="C33">
        <v>33</v>
      </c>
    </row>
    <row r="34" spans="2:3" x14ac:dyDescent="0.35">
      <c r="B34" s="13" t="s">
        <v>3691</v>
      </c>
      <c r="C34">
        <v>24</v>
      </c>
    </row>
    <row r="35" spans="2:3" x14ac:dyDescent="0.35">
      <c r="B35" s="13" t="s">
        <v>3692</v>
      </c>
      <c r="C35">
        <v>31</v>
      </c>
    </row>
    <row r="36" spans="2:3" x14ac:dyDescent="0.35">
      <c r="B36" s="13" t="s">
        <v>3693</v>
      </c>
      <c r="C36">
        <v>34</v>
      </c>
    </row>
    <row r="37" spans="2:3" x14ac:dyDescent="0.35">
      <c r="B37" s="13" t="s">
        <v>3694</v>
      </c>
      <c r="C37">
        <v>34</v>
      </c>
    </row>
    <row r="38" spans="2:3" x14ac:dyDescent="0.35">
      <c r="B38" s="13" t="s">
        <v>3695</v>
      </c>
      <c r="C38">
        <v>33</v>
      </c>
    </row>
    <row r="39" spans="2:3" x14ac:dyDescent="0.35">
      <c r="B39" s="13" t="s">
        <v>3696</v>
      </c>
      <c r="C39">
        <v>30</v>
      </c>
    </row>
    <row r="40" spans="2:3" x14ac:dyDescent="0.35">
      <c r="B40" s="13" t="s">
        <v>3697</v>
      </c>
      <c r="C40">
        <v>38</v>
      </c>
    </row>
    <row r="41" spans="2:3" x14ac:dyDescent="0.35">
      <c r="B41" s="13" t="s">
        <v>3698</v>
      </c>
      <c r="C41">
        <v>25</v>
      </c>
    </row>
    <row r="42" spans="2:3" x14ac:dyDescent="0.35">
      <c r="B42" s="13" t="s">
        <v>3699</v>
      </c>
      <c r="C42">
        <v>37</v>
      </c>
    </row>
    <row r="43" spans="2:3" x14ac:dyDescent="0.35">
      <c r="B43" s="13" t="s">
        <v>3700</v>
      </c>
      <c r="C43">
        <v>12</v>
      </c>
    </row>
    <row r="46" spans="2:3" x14ac:dyDescent="0.35">
      <c r="B46" s="27" t="s">
        <v>3659</v>
      </c>
      <c r="C46" t="s">
        <v>3755</v>
      </c>
    </row>
    <row r="47" spans="2:3" x14ac:dyDescent="0.35">
      <c r="B47" s="13" t="s">
        <v>3654</v>
      </c>
      <c r="C47">
        <v>92</v>
      </c>
    </row>
    <row r="48" spans="2:3" x14ac:dyDescent="0.35">
      <c r="B48" s="13" t="s">
        <v>3655</v>
      </c>
      <c r="C48">
        <v>101</v>
      </c>
    </row>
    <row r="49" spans="2:3" x14ac:dyDescent="0.35">
      <c r="B49" s="13" t="s">
        <v>3656</v>
      </c>
      <c r="C49">
        <v>88</v>
      </c>
    </row>
    <row r="50" spans="2:3" x14ac:dyDescent="0.35">
      <c r="B50" s="13" t="s">
        <v>3661</v>
      </c>
      <c r="C50">
        <v>89</v>
      </c>
    </row>
    <row r="51" spans="2:3" x14ac:dyDescent="0.35">
      <c r="B51" s="13" t="s">
        <v>3662</v>
      </c>
      <c r="C51">
        <v>109</v>
      </c>
    </row>
    <row r="52" spans="2:3" x14ac:dyDescent="0.35">
      <c r="B52" s="13" t="s">
        <v>3663</v>
      </c>
      <c r="C52">
        <v>91</v>
      </c>
    </row>
    <row r="53" spans="2:3" x14ac:dyDescent="0.35">
      <c r="B53" s="13" t="s">
        <v>3664</v>
      </c>
      <c r="C53">
        <v>128</v>
      </c>
    </row>
    <row r="54" spans="2:3" x14ac:dyDescent="0.35">
      <c r="B54" s="13" t="s">
        <v>3665</v>
      </c>
      <c r="C54">
        <v>82</v>
      </c>
    </row>
    <row r="55" spans="2:3" x14ac:dyDescent="0.35">
      <c r="B55" s="13" t="s">
        <v>3666</v>
      </c>
      <c r="C55">
        <v>55</v>
      </c>
    </row>
    <row r="56" spans="2:3" x14ac:dyDescent="0.35">
      <c r="B56" s="13" t="s">
        <v>3667</v>
      </c>
      <c r="C56">
        <v>55</v>
      </c>
    </row>
    <row r="57" spans="2:3" x14ac:dyDescent="0.35">
      <c r="B57" s="13" t="s">
        <v>3668</v>
      </c>
      <c r="C57">
        <v>59</v>
      </c>
    </row>
    <row r="58" spans="2:3" x14ac:dyDescent="0.35">
      <c r="B58" s="13" t="s">
        <v>3669</v>
      </c>
      <c r="C58">
        <v>51</v>
      </c>
    </row>
    <row r="63" spans="2:3" x14ac:dyDescent="0.35">
      <c r="B63" s="27" t="s">
        <v>3659</v>
      </c>
      <c r="C63" t="s">
        <v>3755</v>
      </c>
    </row>
    <row r="64" spans="2:3" x14ac:dyDescent="0.35">
      <c r="B64" s="13" t="s">
        <v>3650</v>
      </c>
      <c r="C64">
        <v>281</v>
      </c>
    </row>
    <row r="65" spans="2:3" x14ac:dyDescent="0.35">
      <c r="B65" s="13" t="s">
        <v>3651</v>
      </c>
      <c r="C65">
        <v>289</v>
      </c>
    </row>
    <row r="66" spans="2:3" x14ac:dyDescent="0.35">
      <c r="B66" s="13" t="s">
        <v>3652</v>
      </c>
      <c r="C66">
        <v>265</v>
      </c>
    </row>
    <row r="67" spans="2:3" x14ac:dyDescent="0.35">
      <c r="B67" s="13" t="s">
        <v>3653</v>
      </c>
      <c r="C67">
        <v>165</v>
      </c>
    </row>
  </sheetData>
  <mergeCells count="3">
    <mergeCell ref="B3:H6"/>
    <mergeCell ref="B9:J10"/>
    <mergeCell ref="O9:U9"/>
  </mergeCells>
  <pageMargins left="0.7" right="0.7" top="0.75" bottom="0.75" header="0.3" footer="0.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3A476-A79C-44CF-A338-E40DE1B63684}">
  <sheetPr>
    <tabColor rgb="FFC84C05"/>
  </sheetPr>
  <dimension ref="B2:I52"/>
  <sheetViews>
    <sheetView showGridLines="0" topLeftCell="A57" zoomScale="111" zoomScaleNormal="100" workbookViewId="0">
      <selection activeCell="B2" sqref="B2:F6"/>
    </sheetView>
  </sheetViews>
  <sheetFormatPr defaultRowHeight="14.5" x14ac:dyDescent="0.35"/>
  <cols>
    <col min="2" max="2" width="18.6328125" bestFit="1" customWidth="1"/>
    <col min="3" max="3" width="11.36328125" bestFit="1" customWidth="1"/>
    <col min="5" max="5" width="10.81640625" bestFit="1" customWidth="1"/>
  </cols>
  <sheetData>
    <row r="2" spans="2:9" x14ac:dyDescent="0.35">
      <c r="B2" s="120" t="s">
        <v>3759</v>
      </c>
      <c r="C2" s="120"/>
      <c r="D2" s="120"/>
      <c r="E2" s="120"/>
      <c r="F2" s="120"/>
    </row>
    <row r="3" spans="2:9" x14ac:dyDescent="0.35">
      <c r="B3" s="120"/>
      <c r="C3" s="120"/>
      <c r="D3" s="120"/>
      <c r="E3" s="120"/>
      <c r="F3" s="120"/>
    </row>
    <row r="4" spans="2:9" x14ac:dyDescent="0.35">
      <c r="B4" s="120"/>
      <c r="C4" s="120"/>
      <c r="D4" s="120"/>
      <c r="E4" s="120"/>
      <c r="F4" s="120"/>
    </row>
    <row r="5" spans="2:9" x14ac:dyDescent="0.35">
      <c r="B5" s="120"/>
      <c r="C5" s="120"/>
      <c r="D5" s="120"/>
      <c r="E5" s="120"/>
      <c r="F5" s="120"/>
    </row>
    <row r="6" spans="2:9" x14ac:dyDescent="0.35">
      <c r="B6" s="120"/>
      <c r="C6" s="120"/>
      <c r="D6" s="120"/>
      <c r="E6" s="120"/>
      <c r="F6" s="120"/>
    </row>
    <row r="8" spans="2:9" x14ac:dyDescent="0.35">
      <c r="B8" s="121" t="s">
        <v>3760</v>
      </c>
      <c r="C8" s="121"/>
      <c r="D8" s="121"/>
      <c r="E8" s="121"/>
      <c r="F8" s="121"/>
      <c r="G8" s="121"/>
      <c r="H8" s="121"/>
      <c r="I8" s="121"/>
    </row>
    <row r="9" spans="2:9" x14ac:dyDescent="0.35">
      <c r="B9" s="122"/>
      <c r="C9" s="122"/>
      <c r="D9" s="122"/>
      <c r="E9" s="122"/>
      <c r="F9" s="122"/>
      <c r="G9" s="122"/>
      <c r="H9" s="122"/>
      <c r="I9" s="122"/>
    </row>
    <row r="10" spans="2:9" x14ac:dyDescent="0.35">
      <c r="B10" s="59"/>
      <c r="C10" s="59"/>
      <c r="D10" s="59"/>
      <c r="E10" s="59"/>
      <c r="F10" s="59"/>
      <c r="G10" s="59"/>
      <c r="H10" s="59"/>
      <c r="I10" s="59"/>
    </row>
    <row r="11" spans="2:9" x14ac:dyDescent="0.35">
      <c r="B11" s="59"/>
      <c r="C11" s="59"/>
      <c r="D11" s="59"/>
      <c r="E11" s="59"/>
      <c r="F11" s="59"/>
      <c r="G11" s="59"/>
      <c r="H11" s="59"/>
      <c r="I11" s="59"/>
    </row>
    <row r="12" spans="2:9" ht="16.5" x14ac:dyDescent="0.45">
      <c r="B12" s="58" t="s">
        <v>3758</v>
      </c>
      <c r="C12" s="58" t="s">
        <v>3600</v>
      </c>
      <c r="D12" s="58" t="s">
        <v>3761</v>
      </c>
      <c r="E12" s="62"/>
    </row>
    <row r="13" spans="2:9" x14ac:dyDescent="0.35">
      <c r="B13" t="str" cm="1">
        <f t="array" ref="B13:B15">_xlfn.UNIQUE(fin_table[Income Category])</f>
        <v>High Income</v>
      </c>
      <c r="C13">
        <f>COUNTIF(fin_table[],B13)</f>
        <v>754</v>
      </c>
      <c r="D13">
        <f>COUNTIFS(fin_table[Loan Defaulters],1,fin_table[Income Category],B13)</f>
        <v>247</v>
      </c>
      <c r="E13" s="62"/>
    </row>
    <row r="14" spans="2:9" x14ac:dyDescent="0.35">
      <c r="B14" t="str">
        <v>Middle Income</v>
      </c>
      <c r="C14">
        <f>COUNTIF(fin_table[],B14)</f>
        <v>172</v>
      </c>
      <c r="D14">
        <f>COUNTIFS(fin_table[Loan Defaulters],1,fin_table[Income Category],B14)</f>
        <v>62</v>
      </c>
      <c r="E14" s="62"/>
    </row>
    <row r="15" spans="2:9" x14ac:dyDescent="0.35">
      <c r="B15" t="str">
        <v>Low Income</v>
      </c>
      <c r="C15">
        <f>COUNTIF(fin_table[],B15)</f>
        <v>74</v>
      </c>
      <c r="D15">
        <f>COUNTIFS(fin_table[Loan Defaulters],1,fin_table[Income Category],B15)</f>
        <v>34</v>
      </c>
      <c r="E15" s="62"/>
    </row>
    <row r="26" spans="2:5" ht="16.5" x14ac:dyDescent="0.45">
      <c r="B26" s="58" t="s">
        <v>3758</v>
      </c>
      <c r="C26" s="58" t="s">
        <v>3600</v>
      </c>
      <c r="D26" s="58" t="s">
        <v>3761</v>
      </c>
      <c r="E26" s="58" t="s">
        <v>3763</v>
      </c>
    </row>
    <row r="27" spans="2:5" x14ac:dyDescent="0.35">
      <c r="B27" t="str" cm="1">
        <f t="array" ref="B27:B29">_xlfn.UNIQUE(fin_table[Income Category])</f>
        <v>High Income</v>
      </c>
      <c r="C27">
        <f>COUNTIF(fin_table[],B27)</f>
        <v>754</v>
      </c>
      <c r="D27">
        <f>COUNTIFS(fin_table[Loan Defaulters],1,fin_table[Income Category],B27)</f>
        <v>247</v>
      </c>
      <c r="E27" s="62">
        <f>D27/C27</f>
        <v>0.32758620689655171</v>
      </c>
    </row>
    <row r="28" spans="2:5" x14ac:dyDescent="0.35">
      <c r="B28" t="str">
        <v>Middle Income</v>
      </c>
      <c r="C28">
        <f>COUNTIF(fin_table[],B28)</f>
        <v>172</v>
      </c>
      <c r="D28">
        <f>COUNTIFS(fin_table[Loan Defaulters],1,fin_table[Income Category],B28)</f>
        <v>62</v>
      </c>
      <c r="E28" s="62">
        <f t="shared" ref="E28:E29" si="0">D28/C28</f>
        <v>0.36046511627906974</v>
      </c>
    </row>
    <row r="29" spans="2:5" x14ac:dyDescent="0.35">
      <c r="B29" t="str">
        <v>Low Income</v>
      </c>
      <c r="C29">
        <f>COUNTIF(fin_table[],B29)</f>
        <v>74</v>
      </c>
      <c r="D29">
        <f>COUNTIFS(fin_table[Loan Defaulters],1,fin_table[Income Category],B29)</f>
        <v>34</v>
      </c>
      <c r="E29" s="62">
        <f t="shared" si="0"/>
        <v>0.45945945945945948</v>
      </c>
    </row>
    <row r="30" spans="2:5" ht="14.5" customHeight="1" x14ac:dyDescent="0.35"/>
    <row r="31" spans="2:5" ht="14.5" customHeight="1" x14ac:dyDescent="0.35"/>
    <row r="46" spans="2:8" x14ac:dyDescent="0.35">
      <c r="B46" s="121" t="s">
        <v>3762</v>
      </c>
      <c r="C46" s="121"/>
      <c r="D46" s="121"/>
      <c r="E46" s="121"/>
      <c r="F46" s="121"/>
      <c r="G46" s="121"/>
      <c r="H46" s="121"/>
    </row>
    <row r="47" spans="2:8" x14ac:dyDescent="0.35">
      <c r="B47" s="122"/>
      <c r="C47" s="122"/>
      <c r="D47" s="122"/>
      <c r="E47" s="122"/>
      <c r="F47" s="122"/>
      <c r="G47" s="122"/>
      <c r="H47" s="122"/>
    </row>
    <row r="49" spans="2:4" ht="16" x14ac:dyDescent="0.45">
      <c r="B49" s="61" t="s">
        <v>19</v>
      </c>
      <c r="C49" s="61" t="s">
        <v>3765</v>
      </c>
      <c r="D49" s="61" t="s">
        <v>3764</v>
      </c>
    </row>
    <row r="50" spans="2:4" x14ac:dyDescent="0.35">
      <c r="B50" t="str" cm="1">
        <f t="array" ref="B50:B52">_xlfn.UNIQUE(fin_table[Employment Status])</f>
        <v>Self-employed</v>
      </c>
      <c r="C50">
        <f>COUNTIFS(fin_table[Employment Status],B50,fin_table[[loan Default ]],"Good")</f>
        <v>225</v>
      </c>
      <c r="D50">
        <f>COUNTIFS(fin_table[Employment Status],B50,fin_table[[loan Default ]],"Default")</f>
        <v>106</v>
      </c>
    </row>
    <row r="51" spans="2:4" x14ac:dyDescent="0.35">
      <c r="B51" t="str">
        <v>Unemployed</v>
      </c>
      <c r="C51">
        <f>COUNTIFS(fin_table[Employment Status],B51,fin_table[[loan Default ]],"Good")</f>
        <v>231</v>
      </c>
      <c r="D51">
        <f>COUNTIFS(fin_table[Employment Status],B51,fin_table[[loan Default ]],"Default")</f>
        <v>119</v>
      </c>
    </row>
    <row r="52" spans="2:4" x14ac:dyDescent="0.35">
      <c r="B52" t="str">
        <v>Employed</v>
      </c>
      <c r="C52">
        <f>COUNTIFS(fin_table[Employment Status],B52,fin_table[[loan Default ]],"Good")</f>
        <v>201</v>
      </c>
      <c r="D52">
        <f>COUNTIFS(fin_table[Employment Status],B52,fin_table[[loan Default ]],"Default")</f>
        <v>118</v>
      </c>
    </row>
  </sheetData>
  <mergeCells count="3">
    <mergeCell ref="B2:F6"/>
    <mergeCell ref="B8:I9"/>
    <mergeCell ref="B46:H47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FE043-6DEC-4287-83FD-E68CBB90F2FD}">
  <sheetPr>
    <tabColor rgb="FF2A004E"/>
  </sheetPr>
  <dimension ref="A3:AP67"/>
  <sheetViews>
    <sheetView showGridLines="0" zoomScale="104" workbookViewId="0">
      <selection activeCell="B70" sqref="B70"/>
    </sheetView>
  </sheetViews>
  <sheetFormatPr defaultRowHeight="14.5" x14ac:dyDescent="0.35"/>
  <cols>
    <col min="2" max="2" width="12.7265625" bestFit="1" customWidth="1"/>
  </cols>
  <sheetData>
    <row r="3" spans="1:42" ht="14.5" customHeight="1" x14ac:dyDescent="0.35">
      <c r="B3" s="126" t="s">
        <v>3766</v>
      </c>
      <c r="C3" s="126"/>
      <c r="D3" s="126"/>
      <c r="E3" s="126"/>
      <c r="F3" s="126"/>
      <c r="G3" s="126"/>
      <c r="H3" s="126"/>
      <c r="I3" s="126"/>
    </row>
    <row r="4" spans="1:42" ht="14.5" customHeight="1" x14ac:dyDescent="0.35">
      <c r="B4" s="126"/>
      <c r="C4" s="126"/>
      <c r="D4" s="126"/>
      <c r="E4" s="126"/>
      <c r="F4" s="126"/>
      <c r="G4" s="126"/>
      <c r="H4" s="126"/>
      <c r="I4" s="126"/>
    </row>
    <row r="5" spans="1:42" ht="14.5" customHeight="1" x14ac:dyDescent="0.35">
      <c r="B5" s="126"/>
      <c r="C5" s="126"/>
      <c r="D5" s="126"/>
      <c r="E5" s="126"/>
      <c r="F5" s="126"/>
      <c r="G5" s="126"/>
      <c r="H5" s="126"/>
      <c r="I5" s="126"/>
    </row>
    <row r="6" spans="1:42" ht="14.5" customHeight="1" x14ac:dyDescent="0.35">
      <c r="B6" s="126"/>
      <c r="C6" s="126"/>
      <c r="D6" s="126"/>
      <c r="E6" s="126"/>
      <c r="F6" s="126"/>
      <c r="G6" s="126"/>
      <c r="H6" s="126"/>
      <c r="I6" s="126"/>
    </row>
    <row r="7" spans="1:42" x14ac:dyDescent="0.35">
      <c r="B7" s="126"/>
      <c r="C7" s="126"/>
      <c r="D7" s="126"/>
      <c r="E7" s="126"/>
      <c r="F7" s="126"/>
      <c r="G7" s="126"/>
      <c r="H7" s="126"/>
      <c r="I7" s="126"/>
    </row>
    <row r="10" spans="1:42" ht="44" customHeight="1" x14ac:dyDescent="0.35">
      <c r="B10" s="127" t="s">
        <v>3767</v>
      </c>
      <c r="C10" s="127"/>
      <c r="D10" s="127"/>
      <c r="E10" s="127"/>
      <c r="F10" s="127"/>
      <c r="G10" s="127"/>
      <c r="H10" s="127"/>
      <c r="I10" s="127"/>
      <c r="J10" s="127"/>
    </row>
    <row r="13" spans="1:42" ht="23.5" x14ac:dyDescent="0.55000000000000004">
      <c r="A13" s="64" t="s">
        <v>3768</v>
      </c>
      <c r="C13" s="125" t="s">
        <v>3776</v>
      </c>
      <c r="D13" s="125"/>
      <c r="E13" s="125"/>
    </row>
    <row r="14" spans="1:42" ht="16.5" x14ac:dyDescent="0.45">
      <c r="C14" s="60"/>
      <c r="D14" s="60"/>
      <c r="E14" s="60"/>
      <c r="AP14" t="s">
        <v>3770</v>
      </c>
    </row>
    <row r="15" spans="1:42" ht="16.5" x14ac:dyDescent="0.45">
      <c r="C15" s="60"/>
      <c r="D15" s="60"/>
      <c r="E15" s="60"/>
      <c r="AP15" t="s">
        <v>3771</v>
      </c>
    </row>
    <row r="16" spans="1:42" ht="16.5" x14ac:dyDescent="0.45">
      <c r="B16" s="128" t="s">
        <v>3773</v>
      </c>
      <c r="C16" s="128"/>
      <c r="D16" s="128"/>
      <c r="E16" s="65" t="s">
        <v>3771</v>
      </c>
      <c r="F16" s="65"/>
      <c r="AP16" t="s">
        <v>3772</v>
      </c>
    </row>
    <row r="17" spans="1:7" x14ac:dyDescent="0.35">
      <c r="B17" s="54" t="s">
        <v>3769</v>
      </c>
      <c r="C17" s="54" t="s">
        <v>3600</v>
      </c>
    </row>
    <row r="18" spans="1:7" x14ac:dyDescent="0.35">
      <c r="B18" t="str" cm="1">
        <f t="array" ref="B18:B20">_xlfn.UNIQUE(fin_table[Account Type])</f>
        <v>Checking</v>
      </c>
      <c r="C18">
        <f>COUNTIFS(fin_table[Account Type],B18,fin_table[Income Category],E16)</f>
        <v>62</v>
      </c>
    </row>
    <row r="19" spans="1:7" x14ac:dyDescent="0.35">
      <c r="B19" t="str">
        <v>Credit</v>
      </c>
      <c r="C19">
        <f>COUNTIFS(fin_table[Account Type],B19,fin_table[Income Category],E16)</f>
        <v>54</v>
      </c>
    </row>
    <row r="20" spans="1:7" x14ac:dyDescent="0.35">
      <c r="B20" t="str">
        <v>Savings</v>
      </c>
      <c r="C20">
        <f>COUNTIFS(fin_table[Account Type],B20,fin_table[Income Category],E16)</f>
        <v>56</v>
      </c>
    </row>
    <row r="30" spans="1:7" ht="23.5" x14ac:dyDescent="0.55000000000000004">
      <c r="A30" s="64" t="s">
        <v>3774</v>
      </c>
      <c r="C30" s="125" t="s">
        <v>3775</v>
      </c>
      <c r="D30" s="125"/>
      <c r="E30" s="125"/>
      <c r="F30" s="125"/>
      <c r="G30" s="125"/>
    </row>
    <row r="33" spans="2:35" ht="16.5" x14ac:dyDescent="0.45">
      <c r="B33" s="128" t="s">
        <v>3777</v>
      </c>
      <c r="C33" s="128"/>
      <c r="D33" s="128"/>
      <c r="E33" s="65" t="s">
        <v>3606</v>
      </c>
    </row>
    <row r="34" spans="2:35" x14ac:dyDescent="0.35">
      <c r="B34" s="54" t="s">
        <v>3769</v>
      </c>
      <c r="C34" s="54" t="s">
        <v>3600</v>
      </c>
    </row>
    <row r="35" spans="2:35" x14ac:dyDescent="0.35">
      <c r="B35" t="str" cm="1">
        <f t="array" ref="B35:B37">_xlfn.UNIQUE(fin_table[Account Type])</f>
        <v>Checking</v>
      </c>
      <c r="C35">
        <f>COUNTIFS(fin_table[Account Type],B35,fin_table[Customer Age Group],E33)</f>
        <v>41</v>
      </c>
    </row>
    <row r="36" spans="2:35" x14ac:dyDescent="0.35">
      <c r="B36" t="str">
        <v>Credit</v>
      </c>
      <c r="C36">
        <f>COUNTIFS(fin_table[Account Type],B36,fin_table[Customer Age Group],E33)</f>
        <v>61</v>
      </c>
    </row>
    <row r="37" spans="2:35" x14ac:dyDescent="0.35">
      <c r="B37" t="str">
        <v>Savings</v>
      </c>
      <c r="C37">
        <f>COUNTIFS(fin_table[Account Type],B37,fin_table[Customer Age Group],E33)</f>
        <v>55</v>
      </c>
    </row>
    <row r="41" spans="2:35" x14ac:dyDescent="0.35">
      <c r="AI41" t="s">
        <v>3602</v>
      </c>
    </row>
    <row r="42" spans="2:35" x14ac:dyDescent="0.35">
      <c r="AI42" t="s">
        <v>3603</v>
      </c>
    </row>
    <row r="43" spans="2:35" x14ac:dyDescent="0.35">
      <c r="AI43" t="s">
        <v>3604</v>
      </c>
    </row>
    <row r="44" spans="2:35" x14ac:dyDescent="0.35">
      <c r="AI44" t="s">
        <v>3605</v>
      </c>
    </row>
    <row r="45" spans="2:35" x14ac:dyDescent="0.35">
      <c r="AI45" t="s">
        <v>3606</v>
      </c>
    </row>
    <row r="52" spans="1:11" ht="18" customHeight="1" x14ac:dyDescent="0.35"/>
    <row r="53" spans="1:11" ht="50" customHeight="1" x14ac:dyDescent="0.45">
      <c r="B53" s="123" t="s">
        <v>3778</v>
      </c>
      <c r="C53" s="123"/>
      <c r="D53" s="123"/>
      <c r="E53" s="123"/>
      <c r="F53" s="123"/>
      <c r="G53" s="123"/>
      <c r="H53" s="123"/>
      <c r="I53" s="123"/>
      <c r="J53" s="123"/>
      <c r="K53" s="63"/>
    </row>
    <row r="55" spans="1:11" ht="23.5" x14ac:dyDescent="0.55000000000000004">
      <c r="A55" s="64" t="s">
        <v>3768</v>
      </c>
      <c r="D55" s="124" t="s">
        <v>3780</v>
      </c>
      <c r="E55" s="124"/>
      <c r="F55" s="124"/>
    </row>
    <row r="56" spans="1:11" ht="16.5" x14ac:dyDescent="0.45">
      <c r="B56" s="66" t="s">
        <v>3779</v>
      </c>
      <c r="C56" s="66" t="s">
        <v>3600</v>
      </c>
    </row>
    <row r="57" spans="1:11" x14ac:dyDescent="0.35">
      <c r="B57" t="str" cm="1">
        <f t="array" ref="B57:B59">_xlfn.UNIQUE(fin_table[Income Category])</f>
        <v>High Income</v>
      </c>
      <c r="C57">
        <f>COUNTIF(fin_table[],B57)</f>
        <v>754</v>
      </c>
    </row>
    <row r="58" spans="1:11" x14ac:dyDescent="0.35">
      <c r="B58" t="str">
        <v>Middle Income</v>
      </c>
      <c r="C58">
        <f>COUNTIF(fin_table[],B58)</f>
        <v>172</v>
      </c>
    </row>
    <row r="59" spans="1:11" x14ac:dyDescent="0.35">
      <c r="B59" t="str">
        <v>Low Income</v>
      </c>
      <c r="C59">
        <f>COUNTIF(fin_table[],B59)</f>
        <v>74</v>
      </c>
    </row>
    <row r="62" spans="1:11" ht="23.5" x14ac:dyDescent="0.55000000000000004">
      <c r="A62" s="64" t="s">
        <v>3774</v>
      </c>
      <c r="D62" s="124" t="s">
        <v>3781</v>
      </c>
      <c r="E62" s="124"/>
      <c r="F62" s="124"/>
    </row>
    <row r="64" spans="1:11" ht="16.5" x14ac:dyDescent="0.45">
      <c r="B64" s="66" t="s">
        <v>3782</v>
      </c>
      <c r="C64" s="66" t="s">
        <v>3600</v>
      </c>
    </row>
    <row r="65" spans="2:3" x14ac:dyDescent="0.35">
      <c r="B65" t="str" cm="1">
        <f t="array" ref="B65:B67">_xlfn.UNIQUE(fin_table[Account Type])</f>
        <v>Checking</v>
      </c>
      <c r="C65">
        <f>COUNTIF(fin_table[],B65)</f>
        <v>345</v>
      </c>
    </row>
    <row r="66" spans="2:3" x14ac:dyDescent="0.35">
      <c r="B66" t="str">
        <v>Credit</v>
      </c>
      <c r="C66">
        <f>COUNTIF(fin_table[],B66)</f>
        <v>343</v>
      </c>
    </row>
    <row r="67" spans="2:3" x14ac:dyDescent="0.35">
      <c r="B67" t="str">
        <v>Savings</v>
      </c>
      <c r="C67">
        <f>COUNTIF(fin_table[],B67)</f>
        <v>312</v>
      </c>
    </row>
  </sheetData>
  <mergeCells count="9">
    <mergeCell ref="B53:J53"/>
    <mergeCell ref="D55:F55"/>
    <mergeCell ref="D62:F62"/>
    <mergeCell ref="C30:G30"/>
    <mergeCell ref="B3:I7"/>
    <mergeCell ref="B10:J10"/>
    <mergeCell ref="C13:E13"/>
    <mergeCell ref="B16:D16"/>
    <mergeCell ref="B33:D33"/>
  </mergeCells>
  <dataValidations count="2">
    <dataValidation type="list" allowBlank="1" showInputMessage="1" showErrorMessage="1" sqref="E16" xr:uid="{9634C75C-1EAF-4FEE-8214-702E98FA83C5}">
      <formula1>$AP$14:$AP$16</formula1>
    </dataValidation>
    <dataValidation type="list" allowBlank="1" showInputMessage="1" showErrorMessage="1" sqref="E33" xr:uid="{F3539B68-D18A-46EF-8198-40A6B2A3134D}">
      <formula1>$AI$41:$AI$45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9F297-64F2-4451-9F76-DC557B0E78FA}">
  <sheetPr>
    <tabColor rgb="FF754E1A"/>
  </sheetPr>
  <dimension ref="A3:AI43"/>
  <sheetViews>
    <sheetView showGridLines="0" topLeftCell="A34" workbookViewId="0">
      <selection activeCell="G36" sqref="G36"/>
    </sheetView>
  </sheetViews>
  <sheetFormatPr defaultRowHeight="14.5" x14ac:dyDescent="0.35"/>
  <cols>
    <col min="2" max="2" width="17.26953125" bestFit="1" customWidth="1"/>
    <col min="3" max="4" width="11.54296875" bestFit="1" customWidth="1"/>
    <col min="5" max="6" width="14" bestFit="1" customWidth="1"/>
    <col min="7" max="7" width="11" bestFit="1" customWidth="1"/>
    <col min="8" max="8" width="10.90625" bestFit="1" customWidth="1"/>
    <col min="9" max="10" width="9" bestFit="1" customWidth="1"/>
  </cols>
  <sheetData>
    <row r="3" spans="1:10" x14ac:dyDescent="0.35">
      <c r="B3" s="131" t="s">
        <v>3783</v>
      </c>
      <c r="C3" s="132"/>
      <c r="D3" s="132"/>
      <c r="E3" s="132"/>
      <c r="F3" s="132"/>
      <c r="G3" s="132"/>
      <c r="H3" s="132"/>
    </row>
    <row r="4" spans="1:10" x14ac:dyDescent="0.35">
      <c r="B4" s="132"/>
      <c r="C4" s="132"/>
      <c r="D4" s="132"/>
      <c r="E4" s="132"/>
      <c r="F4" s="132"/>
      <c r="G4" s="132"/>
      <c r="H4" s="132"/>
    </row>
    <row r="5" spans="1:10" x14ac:dyDescent="0.35">
      <c r="B5" s="132"/>
      <c r="C5" s="132"/>
      <c r="D5" s="132"/>
      <c r="E5" s="132"/>
      <c r="F5" s="132"/>
      <c r="G5" s="132"/>
      <c r="H5" s="132"/>
    </row>
    <row r="6" spans="1:10" x14ac:dyDescent="0.35">
      <c r="B6" s="132"/>
      <c r="C6" s="132"/>
      <c r="D6" s="132"/>
      <c r="E6" s="132"/>
      <c r="F6" s="132"/>
      <c r="G6" s="132"/>
      <c r="H6" s="132"/>
    </row>
    <row r="8" spans="1:10" ht="64" customHeight="1" x14ac:dyDescent="0.35">
      <c r="B8" s="133" t="s">
        <v>3784</v>
      </c>
      <c r="C8" s="133"/>
      <c r="D8" s="133"/>
      <c r="E8" s="133"/>
      <c r="F8" s="133"/>
      <c r="G8" s="133"/>
      <c r="H8" s="133"/>
      <c r="I8" s="133"/>
    </row>
    <row r="10" spans="1:10" ht="23.5" x14ac:dyDescent="0.55000000000000004">
      <c r="A10" s="67" t="s">
        <v>3768</v>
      </c>
      <c r="C10" s="130" t="s">
        <v>3788</v>
      </c>
      <c r="D10" s="130"/>
      <c r="E10" s="130"/>
    </row>
    <row r="11" spans="1:10" ht="17.5" x14ac:dyDescent="0.45">
      <c r="C11" s="68"/>
      <c r="D11" s="68"/>
      <c r="E11" s="68"/>
    </row>
    <row r="12" spans="1:10" ht="17.5" x14ac:dyDescent="0.45">
      <c r="B12" s="134" t="s">
        <v>3785</v>
      </c>
      <c r="C12" s="134"/>
      <c r="D12" s="134"/>
      <c r="E12" s="68"/>
      <c r="H12" s="134" t="s">
        <v>3787</v>
      </c>
      <c r="I12" s="134"/>
      <c r="J12" s="134"/>
    </row>
    <row r="14" spans="1:10" x14ac:dyDescent="0.35">
      <c r="B14" s="69" t="s">
        <v>3786</v>
      </c>
      <c r="C14" s="69" t="s">
        <v>3643</v>
      </c>
      <c r="H14" s="69" t="s">
        <v>3786</v>
      </c>
      <c r="I14" s="69" t="s">
        <v>3643</v>
      </c>
    </row>
    <row r="15" spans="1:10" x14ac:dyDescent="0.35">
      <c r="B15" s="13" t="s">
        <v>664</v>
      </c>
      <c r="C15" s="12">
        <v>3602.7654334999997</v>
      </c>
      <c r="D15" s="12">
        <v>3602.7654334999997</v>
      </c>
      <c r="H15" s="13" t="s">
        <v>3385</v>
      </c>
      <c r="I15" s="12">
        <v>155.57176699999999</v>
      </c>
      <c r="J15" s="12">
        <v>155.57176699999999</v>
      </c>
    </row>
    <row r="16" spans="1:10" x14ac:dyDescent="0.35">
      <c r="B16" s="13" t="s">
        <v>142</v>
      </c>
      <c r="C16" s="12">
        <v>3570.7660245000002</v>
      </c>
      <c r="D16" s="12">
        <v>3570.7660245000002</v>
      </c>
      <c r="H16" s="13" t="s">
        <v>2493</v>
      </c>
      <c r="I16" s="12">
        <v>144.06744</v>
      </c>
      <c r="J16" s="12">
        <v>144.06744</v>
      </c>
    </row>
    <row r="17" spans="1:35" x14ac:dyDescent="0.35">
      <c r="B17" s="13" t="s">
        <v>150</v>
      </c>
      <c r="C17" s="12">
        <v>3587.3490274999999</v>
      </c>
      <c r="D17" s="12">
        <v>3587.3490274999999</v>
      </c>
      <c r="H17" s="13" t="s">
        <v>2961</v>
      </c>
      <c r="I17" s="12">
        <v>166.276296</v>
      </c>
      <c r="J17" s="12">
        <v>166.276296</v>
      </c>
    </row>
    <row r="18" spans="1:35" x14ac:dyDescent="0.35">
      <c r="B18" s="13" t="s">
        <v>493</v>
      </c>
      <c r="C18" s="12">
        <v>5274.4312085000001</v>
      </c>
      <c r="D18" s="12">
        <v>5274.4312085000001</v>
      </c>
      <c r="H18" s="13" t="s">
        <v>765</v>
      </c>
      <c r="I18" s="12">
        <v>103.4712</v>
      </c>
      <c r="J18" s="12">
        <v>103.4712</v>
      </c>
    </row>
    <row r="19" spans="1:35" x14ac:dyDescent="0.35">
      <c r="B19" s="13" t="s">
        <v>566</v>
      </c>
      <c r="C19" s="12">
        <v>4041.3419985</v>
      </c>
      <c r="D19" s="12">
        <v>4041.3419985</v>
      </c>
      <c r="H19" s="13" t="s">
        <v>2764</v>
      </c>
      <c r="I19" s="12">
        <v>160.15377000000001</v>
      </c>
      <c r="J19" s="12">
        <v>160.15377000000001</v>
      </c>
    </row>
    <row r="20" spans="1:35" x14ac:dyDescent="0.35">
      <c r="B20" s="13" t="s">
        <v>1268</v>
      </c>
      <c r="C20" s="12">
        <v>3530.0075099999999</v>
      </c>
      <c r="D20" s="12">
        <v>3530.0075099999999</v>
      </c>
      <c r="H20" s="13" t="s">
        <v>359</v>
      </c>
      <c r="I20" s="12">
        <v>111.92862</v>
      </c>
      <c r="J20" s="12">
        <v>111.92862</v>
      </c>
    </row>
    <row r="21" spans="1:35" x14ac:dyDescent="0.35">
      <c r="B21" s="13" t="s">
        <v>57</v>
      </c>
      <c r="C21" s="12">
        <v>3921.3360994999998</v>
      </c>
      <c r="D21" s="12">
        <v>3921.3360994999998</v>
      </c>
      <c r="H21" s="13" t="s">
        <v>1403</v>
      </c>
      <c r="I21" s="12">
        <v>106.4706</v>
      </c>
      <c r="J21" s="12">
        <v>106.4706</v>
      </c>
    </row>
    <row r="22" spans="1:35" x14ac:dyDescent="0.35">
      <c r="B22" s="13" t="s">
        <v>1128</v>
      </c>
      <c r="C22" s="12">
        <v>3748.8795314999998</v>
      </c>
      <c r="D22" s="12">
        <v>3748.8795314999998</v>
      </c>
      <c r="H22" s="13" t="s">
        <v>3423</v>
      </c>
      <c r="I22" s="12">
        <v>104.54714700000001</v>
      </c>
      <c r="J22" s="12">
        <v>104.54714700000001</v>
      </c>
    </row>
    <row r="23" spans="1:35" x14ac:dyDescent="0.35">
      <c r="B23" s="13" t="s">
        <v>675</v>
      </c>
      <c r="C23" s="12">
        <v>3980.1318645000001</v>
      </c>
      <c r="D23" s="12">
        <v>3980.1318645000001</v>
      </c>
      <c r="H23" s="13" t="s">
        <v>1672</v>
      </c>
      <c r="I23" s="12">
        <v>150.80372999999997</v>
      </c>
      <c r="J23" s="12">
        <v>150.80372999999997</v>
      </c>
    </row>
    <row r="24" spans="1:35" x14ac:dyDescent="0.35">
      <c r="B24" s="13" t="s">
        <v>2105</v>
      </c>
      <c r="C24" s="12">
        <v>4666.0849389999994</v>
      </c>
      <c r="D24" s="12">
        <v>4666.0849389999994</v>
      </c>
      <c r="H24" s="13" t="s">
        <v>158</v>
      </c>
      <c r="I24" s="12">
        <v>77.178747000000001</v>
      </c>
      <c r="J24" s="12">
        <v>77.178747000000001</v>
      </c>
      <c r="AI24" t="str" cm="1">
        <f t="array" ref="AI24:AI28">_xlfn.UNIQUE(fin_table[Customer Age Group])</f>
        <v>Adults</v>
      </c>
    </row>
    <row r="25" spans="1:35" x14ac:dyDescent="0.35">
      <c r="AI25" t="str">
        <v>Middle-Aged</v>
      </c>
    </row>
    <row r="26" spans="1:35" x14ac:dyDescent="0.35">
      <c r="AI26" t="str">
        <v>Older Adults</v>
      </c>
    </row>
    <row r="27" spans="1:35" ht="23.5" x14ac:dyDescent="0.55000000000000004">
      <c r="A27" s="67" t="s">
        <v>3774</v>
      </c>
      <c r="C27" s="130" t="s">
        <v>3789</v>
      </c>
      <c r="D27" s="130"/>
      <c r="E27" s="130"/>
      <c r="F27" s="130"/>
      <c r="AI27" t="str">
        <v>Seniors</v>
      </c>
    </row>
    <row r="28" spans="1:35" x14ac:dyDescent="0.35">
      <c r="AI28" t="str">
        <v>Young Adults</v>
      </c>
    </row>
    <row r="29" spans="1:35" ht="16" x14ac:dyDescent="0.4">
      <c r="B29" s="129" t="s">
        <v>3790</v>
      </c>
      <c r="C29" s="129"/>
      <c r="D29" s="70" t="s">
        <v>3603</v>
      </c>
    </row>
    <row r="31" spans="1:35" x14ac:dyDescent="0.35">
      <c r="B31" s="69" t="s">
        <v>19</v>
      </c>
      <c r="C31" s="69" t="s">
        <v>3600</v>
      </c>
      <c r="D31" s="69" t="s">
        <v>3791</v>
      </c>
      <c r="E31" s="69" t="s">
        <v>3792</v>
      </c>
      <c r="F31" s="69" t="s">
        <v>3793</v>
      </c>
      <c r="G31" s="69" t="s">
        <v>3794</v>
      </c>
    </row>
    <row r="32" spans="1:35" x14ac:dyDescent="0.35">
      <c r="B32" t="str" cm="1">
        <f t="array" ref="B32:B34">_xlfn.UNIQUE(fin_table[Employment Status])</f>
        <v>Self-employed</v>
      </c>
      <c r="C32">
        <f>COUNTIFS(fin_table[Employment Status],B32,fin_table[Customer Age Group],D29)</f>
        <v>56</v>
      </c>
      <c r="D32" s="12">
        <f>AVERAGEIFS(fin_table[Monthly Income],fin_table[Employment Status],B32,fin_table[Customer Age Group],D$29)</f>
        <v>9628.3592857142849</v>
      </c>
      <c r="E32" s="2">
        <f>AVERAGEIFS(fin_table[Credit Score],fin_table[Employment Status],B32,fin_table[Customer Age Group],D29)</f>
        <v>560.82142857142856</v>
      </c>
      <c r="F32" s="12">
        <f>AVERAGEIFS(fin_table[Loan Amount],fin_table[Employment Status],B32,fin_table[Customer Age Group],D$29)</f>
        <v>25521.182767857157</v>
      </c>
      <c r="G32">
        <f>COUNTIFS(fin_table[Loan Defaulters],1,fin_table[Customer Age Group],D$29,fin_table[Employment Status],B32)</f>
        <v>18</v>
      </c>
    </row>
    <row r="33" spans="2:7" x14ac:dyDescent="0.35">
      <c r="B33" t="str">
        <v>Unemployed</v>
      </c>
      <c r="C33">
        <f>COUNTIFS(fin_table[Employment Status],B33,fin_table[Customer Age Group],D29)</f>
        <v>69</v>
      </c>
      <c r="D33" s="12">
        <f>AVERAGEIFS(fin_table[Monthly Income],fin_table[Employment Status],B33,fin_table[Customer Age Group],D$29)</f>
        <v>8714.4144927536272</v>
      </c>
      <c r="E33" s="2">
        <f>AVERAGEIFS(fin_table[Credit Score],fin_table[Employment Status],B33,fin_table[Customer Age Group],D$29)</f>
        <v>554.33333333333337</v>
      </c>
      <c r="F33" s="12">
        <f>AVERAGEIFS(fin_table[Loan Amount],fin_table[Employment Status],B33,fin_table[Customer Age Group],D$29)</f>
        <v>28353.803623188418</v>
      </c>
      <c r="G33">
        <f>COUNTIFS(fin_table[Loan Defaulters],1,fin_table[Customer Age Group],D$29,fin_table[Employment Status],B33)</f>
        <v>21</v>
      </c>
    </row>
    <row r="34" spans="2:7" x14ac:dyDescent="0.35">
      <c r="B34" t="str">
        <v>Employed</v>
      </c>
      <c r="C34">
        <f>COUNTIFS(fin_table[Employment Status],B34,fin_table[Customer Age Group],D29)</f>
        <v>71</v>
      </c>
      <c r="D34" s="12">
        <f>AVERAGEIFS(fin_table[Monthly Income],fin_table[Employment Status],B34,fin_table[Customer Age Group],D$29)</f>
        <v>8273.0654929577449</v>
      </c>
      <c r="E34" s="2">
        <f>AVERAGEIFS(fin_table[Credit Score],fin_table[Employment Status],B34,fin_table[Customer Age Group],D$29)</f>
        <v>550.33802816901414</v>
      </c>
      <c r="F34" s="12">
        <f>AVERAGEIFS(fin_table[Loan Amount],fin_table[Employment Status],B34,fin_table[Customer Age Group],D$29)</f>
        <v>26465.069225352116</v>
      </c>
      <c r="G34">
        <f>COUNTIFS(fin_table[Loan Defaulters],1,fin_table[Customer Age Group],D$29,fin_table[Employment Status],B34)</f>
        <v>27</v>
      </c>
    </row>
    <row r="37" spans="2:7" ht="16.5" x14ac:dyDescent="0.45">
      <c r="B37" s="117" t="s">
        <v>3795</v>
      </c>
      <c r="C37" s="117"/>
      <c r="D37" s="117"/>
      <c r="E37" s="117"/>
    </row>
    <row r="39" spans="2:7" x14ac:dyDescent="0.35">
      <c r="B39" s="69" t="s">
        <v>3726</v>
      </c>
      <c r="C39" s="69" t="s">
        <v>3600</v>
      </c>
      <c r="D39" s="62"/>
    </row>
    <row r="40" spans="2:7" x14ac:dyDescent="0.35">
      <c r="B40" t="str" cm="1">
        <f t="array" ref="B40:B43">_xlfn.UNIQUE(fin_table[Transaction Type])</f>
        <v>Payment</v>
      </c>
      <c r="C40">
        <f>COUNTIF(fin_table[Transaction Type],B40)</f>
        <v>273</v>
      </c>
    </row>
    <row r="41" spans="2:7" x14ac:dyDescent="0.35">
      <c r="B41" t="str">
        <v>Withdrawal</v>
      </c>
      <c r="C41">
        <f>COUNTIF(fin_table[Transaction Type],B41)</f>
        <v>261</v>
      </c>
      <c r="D41" s="62"/>
    </row>
    <row r="42" spans="2:7" x14ac:dyDescent="0.35">
      <c r="B42" t="str">
        <v>Transfer</v>
      </c>
      <c r="C42">
        <f>COUNTIF(fin_table[Transaction Type],B42)</f>
        <v>224</v>
      </c>
      <c r="D42" s="62"/>
    </row>
    <row r="43" spans="2:7" x14ac:dyDescent="0.35">
      <c r="B43" t="str">
        <v>Deposit</v>
      </c>
      <c r="C43">
        <f>COUNTIF(fin_table[Transaction Type],B43)</f>
        <v>242</v>
      </c>
      <c r="D43" s="62"/>
    </row>
  </sheetData>
  <sortState xmlns:xlrd2="http://schemas.microsoft.com/office/spreadsheetml/2017/richdata2" ref="C15:C614">
    <sortCondition descending="1" ref="C15:C614"/>
  </sortState>
  <mergeCells count="8">
    <mergeCell ref="B37:E37"/>
    <mergeCell ref="B29:C29"/>
    <mergeCell ref="C27:F27"/>
    <mergeCell ref="B3:H6"/>
    <mergeCell ref="B8:I8"/>
    <mergeCell ref="C10:E10"/>
    <mergeCell ref="B12:D12"/>
    <mergeCell ref="H12:J12"/>
  </mergeCells>
  <conditionalFormatting sqref="B14:C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5:D24">
    <cfRule type="dataBar" priority="1">
      <dataBar showValue="0">
        <cfvo type="min"/>
        <cfvo type="max"/>
        <color rgb="FF754E1A"/>
      </dataBar>
      <extLst>
        <ext xmlns:x14="http://schemas.microsoft.com/office/spreadsheetml/2009/9/main" uri="{B025F937-C7B1-47D3-B67F-A62EFF666E3E}">
          <x14:id>{874FCDD9-1532-44B5-88A3-779B2A47E95A}</x14:id>
        </ext>
      </extLst>
    </cfRule>
  </conditionalFormatting>
  <conditionalFormatting sqref="H14:I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:J24">
    <cfRule type="dataBar" priority="2">
      <dataBar showValue="0">
        <cfvo type="min"/>
        <cfvo type="max"/>
        <color rgb="FF754E1A"/>
      </dataBar>
      <extLst>
        <ext xmlns:x14="http://schemas.microsoft.com/office/spreadsheetml/2009/9/main" uri="{B025F937-C7B1-47D3-B67F-A62EFF666E3E}">
          <x14:id>{9D4D87C5-25C2-4A13-A685-17C967891396}</x14:id>
        </ext>
      </extLst>
    </cfRule>
  </conditionalFormatting>
  <dataValidations count="1">
    <dataValidation type="list" allowBlank="1" showInputMessage="1" showErrorMessage="1" sqref="D29" xr:uid="{915BD5B3-C425-4E61-B2C6-32B662C6794E}">
      <formula1>$AI$24:$AI$28</formula1>
    </dataValidation>
  </dataValidations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4FCDD9-1532-44B5-88A3-779B2A47E9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D15:D24</xm:sqref>
        </x14:conditionalFormatting>
        <x14:conditionalFormatting xmlns:xm="http://schemas.microsoft.com/office/excel/2006/main">
          <x14:cfRule type="dataBar" id="{9D4D87C5-25C2-4A13-A685-17C9678913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J15:J24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81215-D157-4E8D-A370-09AB29FAC952}">
  <sheetPr>
    <tabColor rgb="FF123524"/>
  </sheetPr>
  <dimension ref="B2:F5"/>
  <sheetViews>
    <sheetView workbookViewId="0">
      <selection activeCell="B2" sqref="B2:F5"/>
    </sheetView>
  </sheetViews>
  <sheetFormatPr defaultRowHeight="14.5" x14ac:dyDescent="0.35"/>
  <sheetData>
    <row r="2" spans="2:6" x14ac:dyDescent="0.35">
      <c r="B2" s="135" t="s">
        <v>3796</v>
      </c>
      <c r="C2" s="135"/>
      <c r="D2" s="135"/>
      <c r="E2" s="135"/>
      <c r="F2" s="135"/>
    </row>
    <row r="3" spans="2:6" x14ac:dyDescent="0.35">
      <c r="B3" s="135"/>
      <c r="C3" s="135"/>
      <c r="D3" s="135"/>
      <c r="E3" s="135"/>
      <c r="F3" s="135"/>
    </row>
    <row r="4" spans="2:6" x14ac:dyDescent="0.35">
      <c r="B4" s="135"/>
      <c r="C4" s="135"/>
      <c r="D4" s="135"/>
      <c r="E4" s="135"/>
      <c r="F4" s="135"/>
    </row>
    <row r="5" spans="2:6" x14ac:dyDescent="0.35">
      <c r="B5" s="135"/>
      <c r="C5" s="135"/>
      <c r="D5" s="135"/>
      <c r="E5" s="135"/>
      <c r="F5" s="135"/>
    </row>
  </sheetData>
  <mergeCells count="1">
    <mergeCell ref="B2:F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96C0AC-D3D8-4435-BDA3-D52978940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Uncleaned_data</vt:lpstr>
      <vt:lpstr>Cleaned_data</vt:lpstr>
      <vt:lpstr>1. Customer Segmentation</vt:lpstr>
      <vt:lpstr>2. Customer Activity</vt:lpstr>
      <vt:lpstr>3. Retention and Loyalty</vt:lpstr>
      <vt:lpstr>4. Revenue and Profitability </vt:lpstr>
      <vt:lpstr>5. Transaction Analysis</vt:lpstr>
      <vt:lpstr>6. Loan Analysis</vt:lpstr>
      <vt:lpstr>7. Credit Risk</vt:lpstr>
      <vt:lpstr>8. Branch-Level Risk</vt:lpstr>
      <vt:lpstr>9. Branch Performance</vt:lpstr>
      <vt:lpstr>10. Transaction Status</vt:lpstr>
      <vt:lpstr>11. Customer Engagement</vt:lpstr>
      <vt:lpstr>12. Loan Repayment</vt:lpstr>
      <vt:lpstr>13. Product Development</vt:lpstr>
      <vt:lpstr>14. Growth Opportunities</vt:lpstr>
      <vt:lpstr>15. KPIs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hussain ismail</dc:creator>
  <cp:lastModifiedBy>hussain ismail</cp:lastModifiedBy>
  <dcterms:created xsi:type="dcterms:W3CDTF">2024-12-21T17:47:15Z</dcterms:created>
  <dcterms:modified xsi:type="dcterms:W3CDTF">2025-01-02T14:14:39Z</dcterms:modified>
</cp:coreProperties>
</file>