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9270" windowHeight="5880" activeTab="1" xr2:uid="{00000000-000D-0000-FFFF-FFFF00000000}"/>
  </bookViews>
  <sheets>
    <sheet name="Sheet1" sheetId="1" r:id="rId1"/>
    <sheet name="Sheet2" sheetId="2" r:id="rId2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2" l="1"/>
  <c r="Q13" i="1"/>
  <c r="Q12" i="1"/>
  <c r="Q11" i="1"/>
  <c r="Q10" i="1"/>
  <c r="Q9" i="1"/>
  <c r="Q7" i="1"/>
  <c r="Q6" i="1"/>
  <c r="M13" i="1"/>
  <c r="M12" i="1"/>
  <c r="M11" i="1"/>
  <c r="M10" i="1"/>
  <c r="M9" i="1"/>
  <c r="M8" i="1"/>
  <c r="M7" i="1"/>
  <c r="M6" i="1"/>
  <c r="J5" i="1"/>
  <c r="J33" i="1"/>
  <c r="I42" i="1" s="1"/>
  <c r="F46" i="1"/>
  <c r="W45" i="2" l="1"/>
  <c r="I52" i="2"/>
  <c r="I55" i="2" s="1"/>
  <c r="I54" i="2"/>
  <c r="I56" i="2" s="1"/>
  <c r="W40" i="2"/>
  <c r="W43" i="2"/>
  <c r="W42" i="2"/>
  <c r="W46" i="2" s="1"/>
  <c r="P40" i="2"/>
  <c r="P43" i="2" s="1"/>
  <c r="P42" i="2"/>
  <c r="P45" i="2" s="1"/>
  <c r="Q8" i="1"/>
  <c r="Q5" i="1"/>
  <c r="J32" i="1"/>
  <c r="I10" i="1" s="1"/>
  <c r="U18" i="2"/>
  <c r="U20" i="2" s="1"/>
  <c r="O18" i="2"/>
  <c r="O20" i="2" s="1"/>
  <c r="I18" i="2"/>
  <c r="I20" i="2" s="1"/>
  <c r="I43" i="2"/>
  <c r="I45" i="2" s="1"/>
  <c r="I44" i="2"/>
  <c r="I40" i="2"/>
  <c r="I30" i="2"/>
  <c r="I29" i="2"/>
  <c r="I31" i="2" s="1"/>
  <c r="I26" i="2"/>
  <c r="I57" i="2" l="1"/>
  <c r="I21" i="2"/>
  <c r="S57" i="2" s="1"/>
  <c r="K46" i="1"/>
  <c r="M46" i="1" s="1"/>
  <c r="I46" i="1"/>
  <c r="U19" i="2"/>
  <c r="I19" i="2"/>
  <c r="P26" i="2" s="1"/>
  <c r="U16" i="2"/>
  <c r="I15" i="2"/>
  <c r="J29" i="1"/>
  <c r="O32" i="1" s="1"/>
  <c r="L37" i="1" l="1"/>
  <c r="E46" i="1"/>
  <c r="M5" i="1"/>
  <c r="H38" i="1" l="1"/>
  <c r="I5" i="1"/>
  <c r="N5" i="1" s="1"/>
  <c r="R5" i="1" s="1"/>
  <c r="O46" i="1"/>
  <c r="P46" i="1" s="1"/>
  <c r="G5" i="1"/>
  <c r="E5" i="1" s="1"/>
  <c r="G6" i="1"/>
  <c r="E6" i="1" s="1"/>
  <c r="G7" i="1"/>
  <c r="E7" i="1" s="1"/>
  <c r="G8" i="1"/>
  <c r="E8" i="1" s="1"/>
  <c r="G9" i="1"/>
  <c r="E9" i="1" s="1"/>
  <c r="G10" i="1"/>
  <c r="E10" i="1" s="1"/>
  <c r="G11" i="1"/>
  <c r="E11" i="1" s="1"/>
  <c r="G12" i="1"/>
  <c r="E12" i="1" s="1"/>
  <c r="G13" i="1"/>
  <c r="E13" i="1" s="1"/>
  <c r="G4" i="1"/>
  <c r="E4" i="1" s="1"/>
  <c r="K5" i="1" l="1"/>
  <c r="H4" i="1"/>
  <c r="T4" i="1" s="1"/>
  <c r="H6" i="1"/>
  <c r="H12" i="1"/>
  <c r="H10" i="1"/>
  <c r="H8" i="1"/>
  <c r="S5" i="1"/>
  <c r="O5" i="1"/>
  <c r="H13" i="1"/>
  <c r="H11" i="1"/>
  <c r="H9" i="1"/>
  <c r="H7" i="1"/>
  <c r="H5" i="1"/>
  <c r="I4" i="1"/>
  <c r="J4" i="1" s="1"/>
  <c r="I12" i="1"/>
  <c r="I8" i="1"/>
  <c r="I6" i="1"/>
  <c r="I13" i="1"/>
  <c r="I11" i="1"/>
  <c r="I9" i="1"/>
  <c r="I7" i="1"/>
  <c r="T5" i="1" l="1"/>
  <c r="J11" i="1"/>
  <c r="K11" i="1" s="1"/>
  <c r="N11" i="1"/>
  <c r="J13" i="1"/>
  <c r="K13" i="1" s="1"/>
  <c r="N13" i="1"/>
  <c r="J8" i="1"/>
  <c r="K8" i="1" s="1"/>
  <c r="N8" i="1"/>
  <c r="J10" i="1"/>
  <c r="K10" i="1" s="1"/>
  <c r="N10" i="1"/>
  <c r="J12" i="1"/>
  <c r="K12" i="1" s="1"/>
  <c r="N12" i="1"/>
  <c r="J9" i="1"/>
  <c r="K9" i="1" s="1"/>
  <c r="N9" i="1"/>
  <c r="J6" i="1"/>
  <c r="K6" i="1" s="1"/>
  <c r="N6" i="1"/>
  <c r="J7" i="1"/>
  <c r="K7" i="1" s="1"/>
  <c r="N7" i="1"/>
  <c r="O7" i="1" s="1"/>
  <c r="R6" i="1" l="1"/>
  <c r="S6" i="1" s="1"/>
  <c r="T6" i="1" s="1"/>
  <c r="O6" i="1"/>
  <c r="R8" i="1"/>
  <c r="S8" i="1" s="1"/>
  <c r="T8" i="1" s="1"/>
  <c r="O8" i="1"/>
  <c r="R13" i="1"/>
  <c r="S13" i="1" s="1"/>
  <c r="T13" i="1" s="1"/>
  <c r="O13" i="1"/>
  <c r="R12" i="1"/>
  <c r="S12" i="1" s="1"/>
  <c r="T12" i="1" s="1"/>
  <c r="O12" i="1"/>
  <c r="R9" i="1"/>
  <c r="S9" i="1" s="1"/>
  <c r="T9" i="1" s="1"/>
  <c r="O9" i="1"/>
  <c r="R11" i="1"/>
  <c r="S11" i="1" s="1"/>
  <c r="T11" i="1" s="1"/>
  <c r="O11" i="1"/>
  <c r="R7" i="1"/>
  <c r="S7" i="1" s="1"/>
  <c r="T7" i="1" s="1"/>
  <c r="O10" i="1"/>
  <c r="R10" i="1"/>
  <c r="S10" i="1" s="1"/>
  <c r="T10" i="1" s="1"/>
</calcChain>
</file>

<file path=xl/sharedStrings.xml><?xml version="1.0" encoding="utf-8"?>
<sst xmlns="http://schemas.openxmlformats.org/spreadsheetml/2006/main" count="136" uniqueCount="73">
  <si>
    <t>Debt ratio</t>
  </si>
  <si>
    <t>Leveraged beta</t>
  </si>
  <si>
    <t>Cost of equity</t>
  </si>
  <si>
    <t>Rating</t>
  </si>
  <si>
    <t>Cost of debt</t>
  </si>
  <si>
    <t>Tax rate</t>
  </si>
  <si>
    <t>WACC</t>
  </si>
  <si>
    <t>unleverage beta</t>
  </si>
  <si>
    <t>Market risk premium</t>
  </si>
  <si>
    <t>market value of  firm</t>
  </si>
  <si>
    <t>EBITDA</t>
  </si>
  <si>
    <t>EBIT</t>
  </si>
  <si>
    <t>Interest expense</t>
  </si>
  <si>
    <t>Interest coverage ratio</t>
  </si>
  <si>
    <t>Coverage ratios</t>
  </si>
  <si>
    <t>Total debt</t>
  </si>
  <si>
    <t>New interest expense</t>
  </si>
  <si>
    <t>AAA</t>
  </si>
  <si>
    <t>New coverage ratios</t>
  </si>
  <si>
    <t>New rating</t>
  </si>
  <si>
    <t>New cost of debt</t>
  </si>
  <si>
    <t>Effective Tax rate</t>
  </si>
  <si>
    <t>Firm Value</t>
  </si>
  <si>
    <t>A-</t>
    <phoneticPr fontId="2" type="noConversion"/>
  </si>
  <si>
    <t>BBB</t>
    <phoneticPr fontId="2" type="noConversion"/>
  </si>
  <si>
    <t>BB+</t>
    <phoneticPr fontId="2" type="noConversion"/>
  </si>
  <si>
    <t>B-</t>
    <phoneticPr fontId="2" type="noConversion"/>
  </si>
  <si>
    <t>5-year Risk free rate</t>
    <phoneticPr fontId="2" type="noConversion"/>
  </si>
  <si>
    <t>New cost of debt (after tax)</t>
    <phoneticPr fontId="2" type="noConversion"/>
  </si>
  <si>
    <t>shareholders' equity</t>
    <phoneticPr fontId="2" type="noConversion"/>
  </si>
  <si>
    <t>D/E</t>
    <phoneticPr fontId="2" type="noConversion"/>
  </si>
  <si>
    <t>current liability</t>
    <phoneticPr fontId="2" type="noConversion"/>
  </si>
  <si>
    <t>Long-term liability</t>
    <phoneticPr fontId="2" type="noConversion"/>
  </si>
  <si>
    <t>total liablity</t>
    <phoneticPr fontId="2" type="noConversion"/>
  </si>
  <si>
    <t>ROGERS</t>
    <phoneticPr fontId="2" type="noConversion"/>
  </si>
  <si>
    <t>BELL</t>
    <phoneticPr fontId="2" type="noConversion"/>
  </si>
  <si>
    <t>telus</t>
    <phoneticPr fontId="2" type="noConversion"/>
  </si>
  <si>
    <t>B</t>
    <phoneticPr fontId="2" type="noConversion"/>
  </si>
  <si>
    <t>Same industry</t>
    <phoneticPr fontId="2" type="noConversion"/>
  </si>
  <si>
    <t>average interest rate</t>
    <phoneticPr fontId="2" type="noConversion"/>
  </si>
  <si>
    <t>None</t>
    <phoneticPr fontId="2" type="noConversion"/>
  </si>
  <si>
    <t xml:space="preserve">levered beta currrent </t>
    <phoneticPr fontId="2" type="noConversion"/>
  </si>
  <si>
    <t>cost of debt</t>
    <phoneticPr fontId="2" type="noConversion"/>
  </si>
  <si>
    <t>total debt</t>
    <phoneticPr fontId="2" type="noConversion"/>
  </si>
  <si>
    <t>interest expense</t>
    <phoneticPr fontId="2" type="noConversion"/>
  </si>
  <si>
    <t>ICR</t>
    <phoneticPr fontId="2" type="noConversion"/>
  </si>
  <si>
    <t>rating</t>
    <phoneticPr fontId="2" type="noConversion"/>
  </si>
  <si>
    <t>effective tax rates</t>
    <phoneticPr fontId="2" type="noConversion"/>
  </si>
  <si>
    <t>new cost of debt</t>
    <phoneticPr fontId="2" type="noConversion"/>
  </si>
  <si>
    <t>BBB</t>
    <phoneticPr fontId="2" type="noConversion"/>
  </si>
  <si>
    <t>WACC</t>
    <phoneticPr fontId="2" type="noConversion"/>
  </si>
  <si>
    <t>cost of equity</t>
    <phoneticPr fontId="2" type="noConversion"/>
  </si>
  <si>
    <t>debt ratio</t>
    <phoneticPr fontId="2" type="noConversion"/>
  </si>
  <si>
    <t>Shaw</t>
    <phoneticPr fontId="2" type="noConversion"/>
  </si>
  <si>
    <t>different industry</t>
    <phoneticPr fontId="2" type="noConversion"/>
  </si>
  <si>
    <t>Air Canada</t>
    <phoneticPr fontId="2" type="noConversion"/>
  </si>
  <si>
    <t>A</t>
    <phoneticPr fontId="2" type="noConversion"/>
  </si>
  <si>
    <t>`</t>
    <phoneticPr fontId="2" type="noConversion"/>
  </si>
  <si>
    <t>Walmart</t>
    <phoneticPr fontId="2" type="noConversion"/>
  </si>
  <si>
    <t>Coca-cola</t>
    <phoneticPr fontId="2" type="noConversion"/>
  </si>
  <si>
    <t>Long-term debt level</t>
    <phoneticPr fontId="2" type="noConversion"/>
  </si>
  <si>
    <t>Long-term level</t>
    <phoneticPr fontId="2" type="noConversion"/>
  </si>
  <si>
    <t>long-term debt level</t>
    <phoneticPr fontId="2" type="noConversion"/>
  </si>
  <si>
    <t>Nike</t>
    <phoneticPr fontId="2" type="noConversion"/>
  </si>
  <si>
    <t>long-term debt levels</t>
    <phoneticPr fontId="2" type="noConversion"/>
  </si>
  <si>
    <t>debt ratios</t>
    <phoneticPr fontId="2" type="noConversion"/>
  </si>
  <si>
    <t xml:space="preserve"> debt ratios</t>
    <phoneticPr fontId="2" type="noConversion"/>
  </si>
  <si>
    <t>average debt ratios</t>
    <phoneticPr fontId="2" type="noConversion"/>
  </si>
  <si>
    <t>D/E</t>
    <phoneticPr fontId="2" type="noConversion"/>
  </si>
  <si>
    <t>BB</t>
    <phoneticPr fontId="2" type="noConversion"/>
  </si>
  <si>
    <t>CCC</t>
    <phoneticPr fontId="2" type="noConversion"/>
  </si>
  <si>
    <t>CC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</si>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</sst>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2" borderId="0" xfId="0" applyFill="1"/>
    <xf numFmtId="9" fontId="0" fillId="2" borderId="0" xfId="0" applyNumberFormat="1" applyFill="1"/>
    <xf numFmtId="9" fontId="0" fillId="2" borderId="0" xfId="1" applyFont="1" applyFill="1"/>
    <xf numFmtId="10" fontId="0" fillId="2" borderId="0" xfId="0" applyNumberFormat="1" applyFill="1"/>
    <xf numFmtId="0" fontId="0" fillId="2" borderId="0" xfId="1" applyNumberFormat="1" applyFont="1" applyFill="1"/>
    <xf numFmtId="2" fontId="0" fillId="2" borderId="0" xfId="0" applyNumberFormat="1" applyFill="1"/>
    <xf numFmtId="9" fontId="0" fillId="0" borderId="0" xfId="0" applyNumberFormat="1" applyFill="1"/>
    <xf numFmtId="0" fontId="0" fillId="0" borderId="0" xfId="0" applyFill="1"/>
    <xf numFmtId="9" fontId="0" fillId="0" borderId="0" xfId="1" applyFont="1" applyFill="1"/>
    <xf numFmtId="10" fontId="0" fillId="0" borderId="0" xfId="0" applyNumberFormat="1" applyFill="1"/>
    <xf numFmtId="0" fontId="0" fillId="0" borderId="0" xfId="1" applyNumberFormat="1" applyFont="1" applyFill="1"/>
    <xf numFmtId="2" fontId="0" fillId="0" borderId="0" xfId="0" applyNumberFormat="1" applyFill="1"/>
    <xf numFmtId="10" fontId="0" fillId="0" borderId="0" xfId="1" applyNumberFormat="1" applyFont="1"/>
    <xf numFmtId="10" fontId="0" fillId="0" borderId="0" xfId="1" applyNumberFormat="1" applyFont="1" applyFill="1"/>
    <xf numFmtId="10" fontId="0" fillId="2" borderId="0" xfId="1" applyNumberFormat="1" applyFont="1" applyFill="1"/>
    <xf numFmtId="165" fontId="0" fillId="0" borderId="0" xfId="0" applyNumberFormat="1" applyFill="1"/>
    <xf numFmtId="166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/>
    <xf numFmtId="3" fontId="0" fillId="0" borderId="0" xfId="0" applyNumberFormat="1"/>
    <xf numFmtId="166" fontId="0" fillId="2" borderId="0" xfId="1" applyNumberFormat="1" applyFont="1" applyFill="1"/>
    <xf numFmtId="9" fontId="0" fillId="3" borderId="0" xfId="0" applyNumberFormat="1" applyFill="1"/>
    <xf numFmtId="2" fontId="0" fillId="3" borderId="0" xfId="0" applyNumberFormat="1" applyFill="1"/>
    <xf numFmtId="9" fontId="0" fillId="3" borderId="0" xfId="1" applyFont="1" applyFill="1"/>
    <xf numFmtId="10" fontId="0" fillId="3" borderId="0" xfId="0" applyNumberFormat="1" applyFill="1"/>
    <xf numFmtId="0" fontId="0" fillId="3" borderId="0" xfId="1" applyNumberFormat="1" applyFont="1" applyFill="1"/>
    <xf numFmtId="0" fontId="0" fillId="3" borderId="0" xfId="0" applyFill="1"/>
    <xf numFmtId="166" fontId="0" fillId="3" borderId="0" xfId="0" applyNumberFormat="1" applyFill="1"/>
    <xf numFmtId="166" fontId="0" fillId="3" borderId="0" xfId="1" applyNumberFormat="1" applyFont="1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U46"/>
  <sheetViews>
    <sheetView topLeftCell="B1" workbookViewId="0">
      <selection activeCell="M23" sqref="M23"/>
    </sheetView>
  </sheetViews>
  <sheetFormatPr defaultRowHeight="15"/>
  <cols>
    <col min="4" max="4" width="9.7109375" bestFit="1" customWidth="1"/>
    <col min="5" max="5" width="14.85546875" bestFit="1" customWidth="1"/>
    <col min="6" max="6" width="14.85546875" customWidth="1"/>
    <col min="7" max="7" width="21.140625" bestFit="1" customWidth="1"/>
    <col min="8" max="8" width="15.28515625" bestFit="1" customWidth="1"/>
    <col min="9" max="9" width="13.42578125" customWidth="1"/>
    <col min="10" max="10" width="15.42578125" bestFit="1" customWidth="1"/>
    <col min="11" max="11" width="14.85546875" bestFit="1" customWidth="1"/>
    <col min="12" max="12" width="19.42578125" bestFit="1" customWidth="1"/>
    <col min="13" max="13" width="11.7109375" bestFit="1" customWidth="1"/>
    <col min="14" max="14" width="20" bestFit="1" customWidth="1"/>
    <col min="15" max="15" width="19.28515625" bestFit="1" customWidth="1"/>
    <col min="16" max="16" width="19.140625" bestFit="1" customWidth="1"/>
    <col min="17" max="17" width="16.28515625" bestFit="1" customWidth="1"/>
    <col min="18" max="18" width="16" bestFit="1" customWidth="1"/>
    <col min="19" max="19" width="25.42578125" bestFit="1" customWidth="1"/>
    <col min="20" max="20" width="6.85546875" bestFit="1" customWidth="1"/>
    <col min="21" max="21" width="10" bestFit="1" customWidth="1"/>
    <col min="22" max="22" width="25.42578125" bestFit="1" customWidth="1"/>
    <col min="23" max="23" width="11.140625" bestFit="1" customWidth="1"/>
  </cols>
  <sheetData>
    <row r="3" spans="4:21">
      <c r="D3" t="s">
        <v>0</v>
      </c>
      <c r="E3" t="s">
        <v>1</v>
      </c>
      <c r="G3" t="s">
        <v>30</v>
      </c>
      <c r="H3" t="s">
        <v>2</v>
      </c>
      <c r="I3" t="s">
        <v>15</v>
      </c>
      <c r="J3" t="s">
        <v>12</v>
      </c>
      <c r="K3" t="s">
        <v>14</v>
      </c>
      <c r="L3" t="s">
        <v>3</v>
      </c>
      <c r="M3" t="s">
        <v>4</v>
      </c>
      <c r="N3" t="s">
        <v>16</v>
      </c>
      <c r="O3" t="s">
        <v>18</v>
      </c>
      <c r="P3" t="s">
        <v>19</v>
      </c>
      <c r="Q3" t="s">
        <v>20</v>
      </c>
      <c r="R3" t="s">
        <v>21</v>
      </c>
      <c r="S3" t="s">
        <v>28</v>
      </c>
      <c r="T3" t="s">
        <v>6</v>
      </c>
      <c r="U3" t="s">
        <v>22</v>
      </c>
    </row>
    <row r="4" spans="4:21">
      <c r="D4" s="1">
        <v>0</v>
      </c>
      <c r="E4" s="2">
        <f t="shared" ref="E4:E13" si="0">$E$21*(1+(1-$L$20)*G4)</f>
        <v>0.505</v>
      </c>
      <c r="F4" s="2"/>
      <c r="G4" s="3">
        <f t="shared" ref="G4:G13" si="1">D4/(1-D4)</f>
        <v>0</v>
      </c>
      <c r="H4" s="4">
        <f t="shared" ref="H4:H13" si="2">$U$20+E4*$U$21</f>
        <v>4.1952000000000003E-2</v>
      </c>
      <c r="I4" s="6">
        <f t="shared" ref="I4:I13" si="3">$J$32*D4</f>
        <v>0</v>
      </c>
      <c r="J4" s="2">
        <f t="shared" ref="J4:J13" si="4">I4*$L$37</f>
        <v>0</v>
      </c>
      <c r="K4" t="s">
        <v>40</v>
      </c>
      <c r="N4">
        <v>0</v>
      </c>
      <c r="R4">
        <v>0.28000000000000003</v>
      </c>
      <c r="T4" s="4">
        <f t="shared" ref="T4:T13" si="5">D4*S4+(1-D4)*H4</f>
        <v>4.1952000000000003E-2</v>
      </c>
    </row>
    <row r="5" spans="4:21">
      <c r="D5" s="8">
        <v>0.1</v>
      </c>
      <c r="E5" s="12">
        <f t="shared" si="0"/>
        <v>0.5454</v>
      </c>
      <c r="F5" s="12"/>
      <c r="G5" s="9">
        <f t="shared" si="1"/>
        <v>0.11111111111111112</v>
      </c>
      <c r="H5" s="10">
        <f t="shared" si="2"/>
        <v>4.3988159999999998E-2</v>
      </c>
      <c r="I5" s="11">
        <f t="shared" si="3"/>
        <v>5718.4000000000005</v>
      </c>
      <c r="J5" s="12">
        <f>I5*$L$37</f>
        <v>187.86231526026094</v>
      </c>
      <c r="K5" s="12">
        <f t="shared" ref="K5:K13" si="6">$H$35/J5</f>
        <v>10.204281775960357</v>
      </c>
      <c r="L5" s="7" t="s">
        <v>17</v>
      </c>
      <c r="M5" s="10">
        <f>$U$20+1.25%</f>
        <v>2.9000000000000001E-2</v>
      </c>
      <c r="N5" s="7">
        <f t="shared" ref="N5:N13" si="7">I5*M5</f>
        <v>165.83360000000002</v>
      </c>
      <c r="O5" s="12">
        <f>$H$35/N5</f>
        <v>11.559780406383265</v>
      </c>
      <c r="P5" s="12" t="s">
        <v>17</v>
      </c>
      <c r="Q5" s="29">
        <f>U20+1.25%</f>
        <v>2.9000000000000001E-2</v>
      </c>
      <c r="R5" s="12">
        <f t="shared" ref="R5:R13" si="8">(MIN($H$35,N5)*$L$20)/N5</f>
        <v>0.28000000000000003</v>
      </c>
      <c r="S5" s="21">
        <f>Q5*(1-R5)</f>
        <v>2.0879999999999999E-2</v>
      </c>
      <c r="T5" s="10">
        <f t="shared" si="5"/>
        <v>4.1677343999999998E-2</v>
      </c>
    </row>
    <row r="6" spans="4:21">
      <c r="D6" s="30">
        <v>0.2</v>
      </c>
      <c r="E6" s="31">
        <f t="shared" si="0"/>
        <v>0.59589999999999999</v>
      </c>
      <c r="F6" s="31"/>
      <c r="G6" s="32">
        <f t="shared" si="1"/>
        <v>0.25</v>
      </c>
      <c r="H6" s="33">
        <f t="shared" si="2"/>
        <v>4.6533359999999996E-2</v>
      </c>
      <c r="I6" s="34">
        <f t="shared" si="3"/>
        <v>11436.800000000001</v>
      </c>
      <c r="J6" s="31">
        <f t="shared" si="4"/>
        <v>375.72463052052188</v>
      </c>
      <c r="K6" s="31">
        <f t="shared" si="6"/>
        <v>5.1021408879801786</v>
      </c>
      <c r="L6" s="35" t="s">
        <v>56</v>
      </c>
      <c r="M6" s="36">
        <f>U20+2.5%</f>
        <v>4.1500000000000002E-2</v>
      </c>
      <c r="N6" s="35">
        <f t="shared" si="7"/>
        <v>474.62720000000007</v>
      </c>
      <c r="O6" s="31">
        <f t="shared" ref="O6:O13" si="9">$H$35/N6</f>
        <v>4.0389594190977673</v>
      </c>
      <c r="P6" s="31" t="s">
        <v>23</v>
      </c>
      <c r="Q6" s="37">
        <f>U20+3%</f>
        <v>4.65E-2</v>
      </c>
      <c r="R6" s="31">
        <f t="shared" si="8"/>
        <v>0.28000000000000008</v>
      </c>
      <c r="S6" s="38">
        <f t="shared" ref="S6:S13" si="10">Q6*(1-R6)</f>
        <v>3.3479999999999996E-2</v>
      </c>
      <c r="T6" s="33">
        <f t="shared" si="5"/>
        <v>4.3922688000000001E-2</v>
      </c>
    </row>
    <row r="7" spans="4:21">
      <c r="D7" s="13">
        <v>0.3</v>
      </c>
      <c r="E7" s="18">
        <f t="shared" si="0"/>
        <v>0.66082857142857154</v>
      </c>
      <c r="F7" s="18"/>
      <c r="G7" s="15">
        <f t="shared" si="1"/>
        <v>0.4285714285714286</v>
      </c>
      <c r="H7" s="16">
        <f t="shared" si="2"/>
        <v>4.9805760000000004E-2</v>
      </c>
      <c r="I7" s="17">
        <f t="shared" si="3"/>
        <v>17155.2</v>
      </c>
      <c r="J7" s="18">
        <f t="shared" si="4"/>
        <v>563.5869457807828</v>
      </c>
      <c r="K7" s="18">
        <f t="shared" si="6"/>
        <v>3.4014272586534524</v>
      </c>
      <c r="L7" s="14" t="s">
        <v>23</v>
      </c>
      <c r="M7" s="22">
        <f>U20+3%</f>
        <v>4.65E-2</v>
      </c>
      <c r="N7" s="14">
        <f t="shared" si="7"/>
        <v>797.71680000000003</v>
      </c>
      <c r="O7" s="18">
        <f>$H$35/N7</f>
        <v>2.403108471577883</v>
      </c>
      <c r="P7" s="18" t="s">
        <v>25</v>
      </c>
      <c r="Q7" s="26">
        <f>U20+4.25%</f>
        <v>5.9000000000000004E-2</v>
      </c>
      <c r="R7" s="18">
        <f t="shared" si="8"/>
        <v>0.28000000000000003</v>
      </c>
      <c r="S7" s="20">
        <f t="shared" si="10"/>
        <v>4.2480000000000004E-2</v>
      </c>
      <c r="T7" s="16">
        <f t="shared" si="5"/>
        <v>4.7608032000000002E-2</v>
      </c>
      <c r="U7" s="14"/>
    </row>
    <row r="8" spans="4:21">
      <c r="D8" s="13">
        <v>0.4</v>
      </c>
      <c r="E8" s="18">
        <f t="shared" si="0"/>
        <v>0.74739999999999995</v>
      </c>
      <c r="F8" s="18"/>
      <c r="G8" s="15">
        <f t="shared" si="1"/>
        <v>0.66666666666666674</v>
      </c>
      <c r="H8" s="16">
        <f t="shared" si="2"/>
        <v>5.4168960000000002E-2</v>
      </c>
      <c r="I8" s="17">
        <f t="shared" si="3"/>
        <v>22873.600000000002</v>
      </c>
      <c r="J8" s="18">
        <f t="shared" si="4"/>
        <v>751.44926104104377</v>
      </c>
      <c r="K8" s="18">
        <f t="shared" si="6"/>
        <v>2.5510704439900893</v>
      </c>
      <c r="L8" s="14" t="s">
        <v>24</v>
      </c>
      <c r="M8" s="22">
        <f>U20+3.5%</f>
        <v>5.1500000000000004E-2</v>
      </c>
      <c r="N8" s="14">
        <f t="shared" si="7"/>
        <v>1177.9904000000001</v>
      </c>
      <c r="O8" s="18">
        <f t="shared" si="9"/>
        <v>1.6273477271122072</v>
      </c>
      <c r="P8" s="18" t="s">
        <v>37</v>
      </c>
      <c r="Q8" s="26">
        <f>U20+3%</f>
        <v>4.65E-2</v>
      </c>
      <c r="R8" s="18">
        <f t="shared" si="8"/>
        <v>0.28000000000000003</v>
      </c>
      <c r="S8" s="20">
        <f t="shared" si="10"/>
        <v>3.3479999999999996E-2</v>
      </c>
      <c r="T8" s="16">
        <f t="shared" si="5"/>
        <v>4.5893376E-2</v>
      </c>
    </row>
    <row r="9" spans="4:21">
      <c r="D9" s="1">
        <v>0.5</v>
      </c>
      <c r="E9" s="2">
        <f t="shared" si="0"/>
        <v>0.86860000000000004</v>
      </c>
      <c r="F9" s="2"/>
      <c r="G9" s="3">
        <f t="shared" si="1"/>
        <v>1</v>
      </c>
      <c r="H9" s="4">
        <f t="shared" si="2"/>
        <v>6.0277440000000002E-2</v>
      </c>
      <c r="I9" s="6">
        <f t="shared" si="3"/>
        <v>28592</v>
      </c>
      <c r="J9" s="2">
        <f t="shared" si="4"/>
        <v>939.31157630130451</v>
      </c>
      <c r="K9" s="2">
        <f t="shared" si="6"/>
        <v>2.040856355192072</v>
      </c>
      <c r="L9" t="s">
        <v>69</v>
      </c>
      <c r="M9" s="24">
        <f>U20+5%</f>
        <v>6.6500000000000004E-2</v>
      </c>
      <c r="N9">
        <f t="shared" si="7"/>
        <v>1901.3680000000002</v>
      </c>
      <c r="O9" s="2">
        <f t="shared" si="9"/>
        <v>1.0082214489777885</v>
      </c>
      <c r="P9" s="2" t="s">
        <v>70</v>
      </c>
      <c r="Q9" s="25">
        <f>U20+10%</f>
        <v>0.11650000000000001</v>
      </c>
      <c r="R9" s="2">
        <f t="shared" si="8"/>
        <v>0.28000000000000003</v>
      </c>
      <c r="S9" s="19">
        <f t="shared" si="10"/>
        <v>8.3879999999999996E-2</v>
      </c>
      <c r="T9" s="4">
        <f t="shared" si="5"/>
        <v>7.2078719999999999E-2</v>
      </c>
    </row>
    <row r="10" spans="4:21">
      <c r="D10" s="13">
        <v>0.6</v>
      </c>
      <c r="E10" s="18">
        <f t="shared" si="0"/>
        <v>1.0504</v>
      </c>
      <c r="F10" s="18"/>
      <c r="G10" s="15">
        <f t="shared" si="1"/>
        <v>1.4999999999999998</v>
      </c>
      <c r="H10" s="16">
        <f t="shared" si="2"/>
        <v>6.9440160000000001E-2</v>
      </c>
      <c r="I10" s="17">
        <f>$J$32*D10</f>
        <v>34310.400000000001</v>
      </c>
      <c r="J10" s="18">
        <f t="shared" si="4"/>
        <v>1127.1738915615656</v>
      </c>
      <c r="K10" s="18">
        <f t="shared" si="6"/>
        <v>1.7007136293267262</v>
      </c>
      <c r="L10" s="14" t="s">
        <v>37</v>
      </c>
      <c r="M10" s="22">
        <f>U20+7.25%</f>
        <v>8.8999999999999996E-2</v>
      </c>
      <c r="N10" s="14">
        <f t="shared" si="7"/>
        <v>3053.6255999999998</v>
      </c>
      <c r="O10" s="18">
        <f t="shared" si="9"/>
        <v>0.62777833667624483</v>
      </c>
      <c r="P10" s="18" t="s">
        <v>71</v>
      </c>
      <c r="Q10" s="26">
        <f>U20+12%</f>
        <v>0.13650000000000001</v>
      </c>
      <c r="R10" s="18">
        <f t="shared" si="8"/>
        <v>0.1757779342693486</v>
      </c>
      <c r="S10" s="20">
        <f t="shared" si="10"/>
        <v>0.11250631197223392</v>
      </c>
      <c r="T10" s="16">
        <f t="shared" si="5"/>
        <v>9.5279851183340356E-2</v>
      </c>
    </row>
    <row r="11" spans="4:21">
      <c r="D11" s="1">
        <v>0.7</v>
      </c>
      <c r="E11" s="2">
        <f t="shared" si="0"/>
        <v>1.3533999999999999</v>
      </c>
      <c r="F11" s="2"/>
      <c r="G11" s="3">
        <f t="shared" si="1"/>
        <v>2.333333333333333</v>
      </c>
      <c r="H11" s="4">
        <f t="shared" si="2"/>
        <v>8.4711359999999999E-2</v>
      </c>
      <c r="I11" s="6">
        <f t="shared" si="3"/>
        <v>40028.799999999996</v>
      </c>
      <c r="J11" s="2">
        <f t="shared" si="4"/>
        <v>1315.0362068218262</v>
      </c>
      <c r="K11" s="2">
        <f t="shared" si="6"/>
        <v>1.4577545394229086</v>
      </c>
      <c r="L11" t="s">
        <v>26</v>
      </c>
      <c r="M11" s="23">
        <f>U20+8.5%</f>
        <v>0.10150000000000001</v>
      </c>
      <c r="N11">
        <f t="shared" si="7"/>
        <v>4062.9231999999997</v>
      </c>
      <c r="O11" s="2">
        <f t="shared" si="9"/>
        <v>0.47182777168911294</v>
      </c>
      <c r="P11" s="2" t="s">
        <v>72</v>
      </c>
      <c r="Q11" s="27">
        <f>U20+15%</f>
        <v>0.16649999999999998</v>
      </c>
      <c r="R11" s="2">
        <f t="shared" si="8"/>
        <v>0.13211177607295166</v>
      </c>
      <c r="S11" s="19">
        <f t="shared" si="10"/>
        <v>0.14450338928385353</v>
      </c>
      <c r="T11" s="4">
        <f t="shared" si="5"/>
        <v>0.12656578049869746</v>
      </c>
    </row>
    <row r="12" spans="4:21">
      <c r="D12" s="1">
        <v>0.8</v>
      </c>
      <c r="E12" s="2">
        <f t="shared" si="0"/>
        <v>1.9594000000000003</v>
      </c>
      <c r="F12" s="2"/>
      <c r="G12" s="3">
        <f t="shared" si="1"/>
        <v>4.0000000000000009</v>
      </c>
      <c r="H12" s="4">
        <f t="shared" si="2"/>
        <v>0.11525376000000001</v>
      </c>
      <c r="I12" s="6">
        <f t="shared" si="3"/>
        <v>45747.200000000004</v>
      </c>
      <c r="J12" s="2">
        <f t="shared" si="4"/>
        <v>1502.8985220820875</v>
      </c>
      <c r="K12" s="2">
        <f t="shared" si="6"/>
        <v>1.2755352219950447</v>
      </c>
      <c r="L12" t="s">
        <v>26</v>
      </c>
      <c r="M12" s="24">
        <f>U20+8.5%</f>
        <v>0.10150000000000001</v>
      </c>
      <c r="N12">
        <f t="shared" si="7"/>
        <v>4643.3408000000009</v>
      </c>
      <c r="O12" s="2">
        <f t="shared" si="9"/>
        <v>0.41284930022797373</v>
      </c>
      <c r="P12" s="2" t="s">
        <v>72</v>
      </c>
      <c r="Q12" s="27">
        <f>U20+15%</f>
        <v>0.16649999999999998</v>
      </c>
      <c r="R12" s="2">
        <f t="shared" si="8"/>
        <v>0.11559780406383266</v>
      </c>
      <c r="S12" s="19">
        <f t="shared" si="10"/>
        <v>0.14725296562337184</v>
      </c>
      <c r="T12" s="4">
        <f t="shared" si="5"/>
        <v>0.14085312449869747</v>
      </c>
    </row>
    <row r="13" spans="4:21">
      <c r="D13" s="1">
        <v>0.9</v>
      </c>
      <c r="E13" s="2">
        <f t="shared" si="0"/>
        <v>3.7774000000000005</v>
      </c>
      <c r="F13" s="2"/>
      <c r="G13" s="3">
        <f t="shared" si="1"/>
        <v>9.0000000000000018</v>
      </c>
      <c r="H13" s="4">
        <f t="shared" si="2"/>
        <v>0.20688096</v>
      </c>
      <c r="I13" s="6">
        <f t="shared" si="3"/>
        <v>51465.599999999999</v>
      </c>
      <c r="J13" s="2">
        <f t="shared" si="4"/>
        <v>1690.7608373423482</v>
      </c>
      <c r="K13" s="2">
        <f t="shared" si="6"/>
        <v>1.1338090862178176</v>
      </c>
      <c r="L13" t="s">
        <v>70</v>
      </c>
      <c r="M13" s="24">
        <f>U20+10%</f>
        <v>0.11650000000000001</v>
      </c>
      <c r="N13">
        <f t="shared" si="7"/>
        <v>5995.7424000000001</v>
      </c>
      <c r="O13" s="2">
        <f t="shared" si="9"/>
        <v>0.31972687819276557</v>
      </c>
      <c r="P13" s="2" t="s">
        <v>72</v>
      </c>
      <c r="Q13" s="27">
        <f>U20+15%</f>
        <v>0.16649999999999998</v>
      </c>
      <c r="R13" s="2">
        <f t="shared" si="8"/>
        <v>8.9523525893974387E-2</v>
      </c>
      <c r="S13" s="19">
        <f t="shared" si="10"/>
        <v>0.15159433293865324</v>
      </c>
      <c r="T13" s="4">
        <f t="shared" si="5"/>
        <v>0.15712299564478791</v>
      </c>
    </row>
    <row r="19" spans="5:21">
      <c r="U19" s="4"/>
    </row>
    <row r="20" spans="5:21">
      <c r="E20" t="s">
        <v>7</v>
      </c>
      <c r="J20" t="s">
        <v>5</v>
      </c>
      <c r="L20" s="1">
        <v>0.28000000000000003</v>
      </c>
      <c r="M20" s="1"/>
      <c r="P20" s="7" t="s">
        <v>27</v>
      </c>
      <c r="Q20" s="7"/>
      <c r="R20" s="7"/>
      <c r="S20" s="7"/>
      <c r="T20" s="7"/>
      <c r="U20" s="10">
        <v>1.6500000000000001E-2</v>
      </c>
    </row>
    <row r="21" spans="5:21">
      <c r="E21">
        <v>0.505</v>
      </c>
      <c r="P21" t="s">
        <v>8</v>
      </c>
      <c r="U21" s="4">
        <v>5.04E-2</v>
      </c>
    </row>
    <row r="25" spans="5:21">
      <c r="N25" s="4"/>
    </row>
    <row r="28" spans="5:21">
      <c r="G28" t="s">
        <v>31</v>
      </c>
      <c r="J28">
        <v>5113</v>
      </c>
    </row>
    <row r="29" spans="5:21">
      <c r="G29" t="s">
        <v>32</v>
      </c>
      <c r="J29">
        <f>J30-J28</f>
        <v>17960</v>
      </c>
    </row>
    <row r="30" spans="5:21">
      <c r="G30" t="s">
        <v>33</v>
      </c>
      <c r="J30">
        <v>23073</v>
      </c>
    </row>
    <row r="31" spans="5:21">
      <c r="G31" s="7" t="s">
        <v>29</v>
      </c>
      <c r="H31" s="7"/>
      <c r="I31" s="7"/>
      <c r="J31" s="7">
        <v>34111</v>
      </c>
    </row>
    <row r="32" spans="5:21">
      <c r="G32" t="s">
        <v>9</v>
      </c>
      <c r="J32">
        <f>J30+J31</f>
        <v>57184</v>
      </c>
      <c r="N32" t="s">
        <v>15</v>
      </c>
      <c r="O32">
        <f>J28+J29</f>
        <v>23073</v>
      </c>
    </row>
    <row r="33" spans="5:16">
      <c r="G33" t="s">
        <v>68</v>
      </c>
      <c r="J33">
        <f>J30/J31</f>
        <v>0.67640936941162677</v>
      </c>
    </row>
    <row r="34" spans="5:16">
      <c r="G34" t="s">
        <v>10</v>
      </c>
      <c r="H34">
        <v>4193</v>
      </c>
    </row>
    <row r="35" spans="5:16">
      <c r="G35" t="s">
        <v>11</v>
      </c>
      <c r="H35">
        <v>1917</v>
      </c>
    </row>
    <row r="37" spans="5:16">
      <c r="G37" t="s">
        <v>12</v>
      </c>
      <c r="H37">
        <v>758</v>
      </c>
      <c r="J37" t="s">
        <v>39</v>
      </c>
      <c r="L37" s="5">
        <f>H37/O32</f>
        <v>3.285225154943007E-2</v>
      </c>
    </row>
    <row r="38" spans="5:16">
      <c r="G38" t="s">
        <v>13</v>
      </c>
      <c r="H38" s="2">
        <f>H35/H37</f>
        <v>2.529023746701847</v>
      </c>
    </row>
    <row r="42" spans="5:16">
      <c r="G42" t="s">
        <v>41</v>
      </c>
      <c r="I42">
        <f>E21*(1+(1-L20)*J33)</f>
        <v>0.75094244671806742</v>
      </c>
    </row>
    <row r="45" spans="5:16">
      <c r="E45" t="s">
        <v>52</v>
      </c>
      <c r="F45" t="s">
        <v>68</v>
      </c>
      <c r="G45" t="s">
        <v>43</v>
      </c>
      <c r="H45" t="s">
        <v>44</v>
      </c>
      <c r="I45" t="s">
        <v>45</v>
      </c>
      <c r="J45" t="s">
        <v>46</v>
      </c>
      <c r="K45" t="s">
        <v>42</v>
      </c>
      <c r="L45" t="s">
        <v>47</v>
      </c>
      <c r="M45" t="s">
        <v>48</v>
      </c>
      <c r="O45" t="s">
        <v>51</v>
      </c>
      <c r="P45" t="s">
        <v>50</v>
      </c>
    </row>
    <row r="46" spans="5:16">
      <c r="E46" s="19">
        <f>O32/J32</f>
        <v>0.40348698936765531</v>
      </c>
      <c r="F46" s="2">
        <f>E46/(1-E46)</f>
        <v>0.67640936941162688</v>
      </c>
      <c r="G46">
        <v>23073</v>
      </c>
      <c r="H46">
        <v>758</v>
      </c>
      <c r="I46">
        <f>H35/H37</f>
        <v>2.529023746701847</v>
      </c>
      <c r="J46" t="s">
        <v>49</v>
      </c>
      <c r="K46" s="24">
        <f>U20+3.5%</f>
        <v>5.1500000000000004E-2</v>
      </c>
      <c r="L46" s="1">
        <v>0.28000000000000003</v>
      </c>
      <c r="M46" s="19">
        <f>K46*(1-L46)</f>
        <v>3.7080000000000002E-2</v>
      </c>
      <c r="O46" s="19">
        <f>U20+I42*U21</f>
        <v>5.4347499314590597E-2</v>
      </c>
      <c r="P46" s="19">
        <f>E46*M46+(1-E46)*O46</f>
        <v>4.7380288002238383E-2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D4AF-AEF7-48E4-AB06-B209A5371E24}">
  <dimension ref="D11:W57"/>
  <sheetViews>
    <sheetView tabSelected="1" topLeftCell="A7" workbookViewId="0">
      <selection activeCell="I54" sqref="I54"/>
    </sheetView>
  </sheetViews>
  <sheetFormatPr defaultRowHeight="15"/>
  <sheetData>
    <row r="11" spans="4:21">
      <c r="D11" t="s">
        <v>38</v>
      </c>
    </row>
    <row r="13" spans="4:21">
      <c r="F13" t="s">
        <v>34</v>
      </c>
      <c r="M13" t="s">
        <v>35</v>
      </c>
      <c r="R13" t="s">
        <v>36</v>
      </c>
    </row>
    <row r="14" spans="4:21">
      <c r="F14" t="s">
        <v>31</v>
      </c>
      <c r="I14">
        <v>5113</v>
      </c>
      <c r="L14" t="s">
        <v>31</v>
      </c>
      <c r="O14" s="28">
        <v>10108</v>
      </c>
      <c r="R14" t="s">
        <v>31</v>
      </c>
      <c r="U14" s="28">
        <v>4951</v>
      </c>
    </row>
    <row r="15" spans="4:21">
      <c r="F15" t="s">
        <v>32</v>
      </c>
      <c r="I15">
        <f>I16-I14</f>
        <v>17960</v>
      </c>
      <c r="L15" t="s">
        <v>32</v>
      </c>
      <c r="O15">
        <v>22146</v>
      </c>
      <c r="R15" t="s">
        <v>32</v>
      </c>
      <c r="U15">
        <v>14842</v>
      </c>
    </row>
    <row r="16" spans="4:21">
      <c r="F16" t="s">
        <v>33</v>
      </c>
      <c r="I16">
        <v>23073</v>
      </c>
      <c r="L16" t="s">
        <v>33</v>
      </c>
      <c r="O16">
        <v>32254</v>
      </c>
      <c r="R16" t="s">
        <v>33</v>
      </c>
      <c r="U16" s="28">
        <f>U14+U15</f>
        <v>19793</v>
      </c>
    </row>
    <row r="17" spans="6:21">
      <c r="F17" s="7" t="s">
        <v>29</v>
      </c>
      <c r="G17" s="7"/>
      <c r="H17" s="7"/>
      <c r="I17" s="7">
        <v>34111</v>
      </c>
      <c r="L17" s="7" t="s">
        <v>29</v>
      </c>
      <c r="M17" s="7"/>
      <c r="N17" s="7"/>
      <c r="O17" s="7">
        <v>55253</v>
      </c>
      <c r="R17" s="7" t="s">
        <v>29</v>
      </c>
      <c r="S17" s="7"/>
      <c r="T17" s="7"/>
      <c r="U17" s="7">
        <v>28359</v>
      </c>
    </row>
    <row r="18" spans="6:21">
      <c r="F18" t="s">
        <v>9</v>
      </c>
      <c r="I18">
        <f>I16+I17</f>
        <v>57184</v>
      </c>
      <c r="L18" t="s">
        <v>9</v>
      </c>
      <c r="O18" s="28">
        <f>O16+O17</f>
        <v>87507</v>
      </c>
      <c r="R18" t="s">
        <v>9</v>
      </c>
      <c r="U18" s="28">
        <f>U16+U17</f>
        <v>48152</v>
      </c>
    </row>
    <row r="19" spans="6:21">
      <c r="F19" s="7" t="s">
        <v>30</v>
      </c>
      <c r="G19" s="7"/>
      <c r="H19" s="7"/>
      <c r="I19" s="7">
        <f>I16/I17</f>
        <v>0.67640936941162677</v>
      </c>
      <c r="L19" s="7" t="s">
        <v>30</v>
      </c>
      <c r="M19" s="7"/>
      <c r="N19" s="7"/>
      <c r="O19" s="7">
        <f>O16/O17</f>
        <v>0.583751108537093</v>
      </c>
      <c r="R19" s="7" t="s">
        <v>30</v>
      </c>
      <c r="S19" s="7"/>
      <c r="T19" s="7"/>
      <c r="U19" s="7">
        <f>U16/U17</f>
        <v>0.69794421524031169</v>
      </c>
    </row>
    <row r="20" spans="6:21">
      <c r="F20" t="s">
        <v>60</v>
      </c>
      <c r="I20">
        <f>I15/I18</f>
        <v>0.31407386681589256</v>
      </c>
      <c r="L20" t="s">
        <v>61</v>
      </c>
      <c r="O20">
        <f>O15/O18</f>
        <v>0.25307689670540645</v>
      </c>
      <c r="R20" t="s">
        <v>62</v>
      </c>
      <c r="U20">
        <f>U15/U18</f>
        <v>0.30823226449576341</v>
      </c>
    </row>
    <row r="21" spans="6:21">
      <c r="F21" t="s">
        <v>65</v>
      </c>
      <c r="I21">
        <f>I16/I18</f>
        <v>0.40348698936765531</v>
      </c>
    </row>
    <row r="24" spans="6:21">
      <c r="F24" t="s">
        <v>53</v>
      </c>
    </row>
    <row r="25" spans="6:21">
      <c r="F25" t="s">
        <v>31</v>
      </c>
      <c r="I25">
        <v>1819</v>
      </c>
    </row>
    <row r="26" spans="6:21">
      <c r="F26" t="s">
        <v>32</v>
      </c>
      <c r="I26">
        <f>I27-I25</f>
        <v>7125</v>
      </c>
      <c r="P26">
        <f>AVERAGE(I19,O19,U19,I30)</f>
        <v>0.65007762012715653</v>
      </c>
    </row>
    <row r="27" spans="6:21">
      <c r="F27" t="s">
        <v>33</v>
      </c>
      <c r="I27">
        <v>8944</v>
      </c>
    </row>
    <row r="28" spans="6:21">
      <c r="F28" s="7" t="s">
        <v>29</v>
      </c>
      <c r="G28" s="7"/>
      <c r="H28" s="7"/>
      <c r="I28" s="7">
        <v>13927</v>
      </c>
    </row>
    <row r="29" spans="6:21">
      <c r="F29" t="s">
        <v>9</v>
      </c>
      <c r="I29">
        <f>I27+I28</f>
        <v>22871</v>
      </c>
    </row>
    <row r="30" spans="6:21">
      <c r="F30" s="7" t="s">
        <v>30</v>
      </c>
      <c r="G30" s="7"/>
      <c r="H30" s="7"/>
      <c r="I30" s="7">
        <f>I27/I28</f>
        <v>0.64220578731959499</v>
      </c>
    </row>
    <row r="31" spans="6:21">
      <c r="F31" t="s">
        <v>62</v>
      </c>
      <c r="I31">
        <f>I26/I29</f>
        <v>0.3115298850072144</v>
      </c>
    </row>
    <row r="35" spans="4:23">
      <c r="D35" t="s">
        <v>54</v>
      </c>
    </row>
    <row r="36" spans="4:23">
      <c r="M36" t="s">
        <v>58</v>
      </c>
      <c r="T36" t="s">
        <v>59</v>
      </c>
    </row>
    <row r="37" spans="4:23">
      <c r="F37" t="s">
        <v>55</v>
      </c>
      <c r="L37" t="s">
        <v>57</v>
      </c>
    </row>
    <row r="38" spans="4:23">
      <c r="M38" t="s">
        <v>31</v>
      </c>
      <c r="P38">
        <v>64619</v>
      </c>
      <c r="T38" t="s">
        <v>31</v>
      </c>
      <c r="W38">
        <v>26532</v>
      </c>
    </row>
    <row r="39" spans="4:23">
      <c r="F39" t="s">
        <v>31</v>
      </c>
      <c r="I39">
        <v>4424</v>
      </c>
      <c r="M39" t="s">
        <v>32</v>
      </c>
      <c r="P39">
        <v>45951</v>
      </c>
      <c r="T39" t="s">
        <v>32</v>
      </c>
      <c r="W39">
        <v>37518</v>
      </c>
    </row>
    <row r="40" spans="4:23">
      <c r="F40" t="s">
        <v>32</v>
      </c>
      <c r="I40">
        <f>I41-I39</f>
        <v>9471</v>
      </c>
      <c r="M40" t="s">
        <v>33</v>
      </c>
      <c r="P40">
        <f>P38+P39</f>
        <v>110570</v>
      </c>
      <c r="T40" t="s">
        <v>33</v>
      </c>
      <c r="W40">
        <f>W38+W39</f>
        <v>64050</v>
      </c>
    </row>
    <row r="41" spans="4:23">
      <c r="F41" t="s">
        <v>33</v>
      </c>
      <c r="I41">
        <v>13895</v>
      </c>
      <c r="M41" s="7" t="s">
        <v>29</v>
      </c>
      <c r="N41" s="7"/>
      <c r="O41" s="7"/>
      <c r="P41" s="7">
        <v>291076.5</v>
      </c>
      <c r="T41" s="7" t="s">
        <v>29</v>
      </c>
      <c r="U41" s="7"/>
      <c r="V41" s="7"/>
      <c r="W41" s="7">
        <v>195832.2</v>
      </c>
    </row>
    <row r="42" spans="4:23">
      <c r="F42" s="7" t="s">
        <v>29</v>
      </c>
      <c r="G42" s="7"/>
      <c r="H42" s="7"/>
      <c r="I42" s="7">
        <v>6684</v>
      </c>
      <c r="M42" t="s">
        <v>9</v>
      </c>
      <c r="P42">
        <f>P40+P41</f>
        <v>401646.5</v>
      </c>
      <c r="T42" t="s">
        <v>9</v>
      </c>
      <c r="W42">
        <f>W40+W41</f>
        <v>259882.2</v>
      </c>
    </row>
    <row r="43" spans="4:23">
      <c r="F43" t="s">
        <v>9</v>
      </c>
      <c r="I43">
        <f>I41+I42</f>
        <v>20579</v>
      </c>
      <c r="M43" s="7" t="s">
        <v>30</v>
      </c>
      <c r="N43" s="7"/>
      <c r="O43" s="7"/>
      <c r="P43" s="7">
        <f>P40/P41</f>
        <v>0.37986577411780065</v>
      </c>
      <c r="T43" s="7" t="s">
        <v>30</v>
      </c>
      <c r="U43" s="7"/>
      <c r="V43" s="7"/>
      <c r="W43" s="7">
        <f>W40/W41</f>
        <v>0.32706572259311795</v>
      </c>
    </row>
    <row r="44" spans="4:23">
      <c r="F44" s="7" t="s">
        <v>30</v>
      </c>
      <c r="G44" s="7"/>
      <c r="H44" s="7"/>
      <c r="I44" s="7">
        <f>I41/I42</f>
        <v>2.0788450029922201</v>
      </c>
    </row>
    <row r="45" spans="4:23">
      <c r="F45" t="s">
        <v>65</v>
      </c>
      <c r="I45">
        <f>I41/I43</f>
        <v>0.67520287671898538</v>
      </c>
      <c r="M45" t="s">
        <v>66</v>
      </c>
      <c r="P45">
        <f>P40/P42</f>
        <v>0.275291830004743</v>
      </c>
      <c r="T45" t="s">
        <v>64</v>
      </c>
      <c r="W45">
        <f>W39/W42</f>
        <v>0.14436540863514313</v>
      </c>
    </row>
    <row r="46" spans="4:23">
      <c r="T46" t="s">
        <v>65</v>
      </c>
      <c r="W46">
        <f>W40/W42</f>
        <v>0.24645781819609036</v>
      </c>
    </row>
    <row r="49" spans="6:19">
      <c r="F49" t="s">
        <v>63</v>
      </c>
    </row>
    <row r="50" spans="6:19">
      <c r="F50" t="s">
        <v>31</v>
      </c>
      <c r="I50">
        <v>5358</v>
      </c>
    </row>
    <row r="51" spans="6:19">
      <c r="F51" t="s">
        <v>32</v>
      </c>
      <c r="I51">
        <v>7368</v>
      </c>
    </row>
    <row r="52" spans="6:19">
      <c r="F52" t="s">
        <v>33</v>
      </c>
      <c r="I52">
        <f>I50+I51</f>
        <v>12726</v>
      </c>
    </row>
    <row r="53" spans="6:19">
      <c r="F53" s="7" t="s">
        <v>29</v>
      </c>
      <c r="G53" s="7"/>
      <c r="H53" s="7"/>
      <c r="I53" s="7">
        <v>77844</v>
      </c>
    </row>
    <row r="54" spans="6:19">
      <c r="F54" t="s">
        <v>9</v>
      </c>
      <c r="I54">
        <f>I52+I53</f>
        <v>90570</v>
      </c>
    </row>
    <row r="55" spans="6:19">
      <c r="F55" s="7" t="s">
        <v>30</v>
      </c>
      <c r="G55" s="7"/>
      <c r="H55" s="7"/>
      <c r="I55" s="7">
        <f>I52/I53</f>
        <v>0.16348080776938492</v>
      </c>
    </row>
    <row r="56" spans="6:19">
      <c r="F56" t="s">
        <v>64</v>
      </c>
      <c r="I56">
        <f>I51/I54</f>
        <v>8.1351440874461736E-2</v>
      </c>
    </row>
    <row r="57" spans="6:19">
      <c r="F57" t="s">
        <v>65</v>
      </c>
      <c r="I57">
        <f>I52/I54</f>
        <v>0.14051010268300762</v>
      </c>
      <c r="P57" t="s">
        <v>67</v>
      </c>
      <c r="S57">
        <f>AVERAGE(I21,I45,P45,W46,I57,)</f>
        <v>0.29015826949508028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Carleton University</dc:creator>
  <cp:lastModifiedBy>Owner</cp:lastModifiedBy>
  <dcterms:created xsi:type="dcterms:W3CDTF">2017-11-28T20:13:11Z</dcterms:created>
  <dcterms:modified xsi:type="dcterms:W3CDTF">2018-02-08T01:10:23Z</dcterms:modified>
</cp:coreProperties>
</file>